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p\Documents\dokumenciki\2024\Adm 12_2024 - dzierżawa analizatora i odczynniki\SWZ\"/>
    </mc:Choice>
  </mc:AlternateContent>
  <xr:revisionPtr revIDLastSave="0" documentId="13_ncr:1_{9DA16729-1C7F-4199-973A-47B0077F53F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mularz " sheetId="2" r:id="rId1"/>
    <sheet name="Sheet3" sheetId="3" state="hidden" r:id="rId2"/>
    <sheet name="Sheet4" sheetId="4" state="hidden" r:id="rId3"/>
    <sheet name="Sheet5" sheetId="5" state="hidden" r:id="rId4"/>
    <sheet name="Sheet2" sheetId="6" state="hidden" r:id="rId5"/>
    <sheet name="Sheet7" sheetId="7" state="hidden" r:id="rId6"/>
    <sheet name="roboczy" sheetId="8" state="hidden" r:id="rId7"/>
  </sheets>
  <definedNames>
    <definedName name="_xlnm._FilterDatabase" localSheetId="0">'Formularz '!#REF!</definedName>
    <definedName name="cont" localSheetId="1">Sheet3!$I$185</definedName>
    <definedName name="increase" localSheetId="1">Sheet3!$I$183</definedName>
    <definedName name="rerun" localSheetId="1">Sheet3!$I$184</definedName>
  </definedNames>
  <calcPr calcId="181029" iterateDelta="1E-4"/>
</workbook>
</file>

<file path=xl/calcChain.xml><?xml version="1.0" encoding="utf-8"?>
<calcChain xmlns="http://schemas.openxmlformats.org/spreadsheetml/2006/main">
  <c r="C9" i="5" l="1"/>
  <c r="H177" i="3"/>
  <c r="H176" i="3"/>
  <c r="H172" i="3"/>
  <c r="G73" i="8"/>
  <c r="D73" i="8"/>
  <c r="H73" i="8" s="1"/>
  <c r="G72" i="8"/>
  <c r="D72" i="8"/>
  <c r="H72" i="8" s="1"/>
  <c r="G71" i="8"/>
  <c r="D71" i="8"/>
  <c r="H71" i="8" s="1"/>
  <c r="G70" i="8"/>
  <c r="D70" i="8"/>
  <c r="H70" i="8" s="1"/>
  <c r="G69" i="8"/>
  <c r="D69" i="8"/>
  <c r="H69" i="8" s="1"/>
  <c r="G68" i="8"/>
  <c r="D68" i="8"/>
  <c r="G67" i="8"/>
  <c r="D67" i="8"/>
  <c r="H67" i="8" s="1"/>
  <c r="G66" i="8"/>
  <c r="D66" i="8"/>
  <c r="H66" i="8" s="1"/>
  <c r="G65" i="8"/>
  <c r="D65" i="8"/>
  <c r="H65" i="8" s="1"/>
  <c r="G64" i="8"/>
  <c r="D64" i="8"/>
  <c r="I64" i="8" s="1"/>
  <c r="H63" i="8"/>
  <c r="G63" i="8"/>
  <c r="I63" i="8" s="1"/>
  <c r="G62" i="8"/>
  <c r="I62" i="8" s="1"/>
  <c r="D62" i="8"/>
  <c r="H62" i="8" s="1"/>
  <c r="G61" i="8"/>
  <c r="D61" i="8"/>
  <c r="H61" i="8" s="1"/>
  <c r="G60" i="8"/>
  <c r="D60" i="8"/>
  <c r="H60" i="8" s="1"/>
  <c r="H59" i="8"/>
  <c r="G59" i="8"/>
  <c r="D59" i="8"/>
  <c r="G58" i="8"/>
  <c r="I58" i="8" s="1"/>
  <c r="D58" i="8"/>
  <c r="H58" i="8" s="1"/>
  <c r="G57" i="8"/>
  <c r="D57" i="8"/>
  <c r="H57" i="8" s="1"/>
  <c r="H56" i="8"/>
  <c r="G56" i="8"/>
  <c r="D56" i="8"/>
  <c r="G55" i="8"/>
  <c r="D55" i="8"/>
  <c r="G54" i="8"/>
  <c r="D54" i="8"/>
  <c r="H54" i="8" s="1"/>
  <c r="G53" i="8"/>
  <c r="D53" i="8"/>
  <c r="H53" i="8" s="1"/>
  <c r="G52" i="8"/>
  <c r="D52" i="8"/>
  <c r="H52" i="8" s="1"/>
  <c r="G51" i="8"/>
  <c r="D51" i="8"/>
  <c r="I51" i="8" s="1"/>
  <c r="G50" i="8"/>
  <c r="I50" i="8" s="1"/>
  <c r="D50" i="8"/>
  <c r="H50" i="8" s="1"/>
  <c r="G49" i="8"/>
  <c r="D49" i="8"/>
  <c r="H49" i="8" s="1"/>
  <c r="G48" i="8"/>
  <c r="D48" i="8"/>
  <c r="H48" i="8" s="1"/>
  <c r="H47" i="8"/>
  <c r="G47" i="8"/>
  <c r="D47" i="8"/>
  <c r="I47" i="8" s="1"/>
  <c r="G46" i="8"/>
  <c r="D46" i="8"/>
  <c r="H46" i="8" s="1"/>
  <c r="G45" i="8"/>
  <c r="D45" i="8"/>
  <c r="H45" i="8" s="1"/>
  <c r="G44" i="8"/>
  <c r="D44" i="8"/>
  <c r="H44" i="8" s="1"/>
  <c r="G43" i="8"/>
  <c r="D43" i="8"/>
  <c r="H43" i="8" s="1"/>
  <c r="G42" i="8"/>
  <c r="D42" i="8"/>
  <c r="H42" i="8" s="1"/>
  <c r="G41" i="8"/>
  <c r="D41" i="8"/>
  <c r="H41" i="8" s="1"/>
  <c r="H40" i="8"/>
  <c r="G40" i="8"/>
  <c r="I40" i="8" s="1"/>
  <c r="D40" i="8"/>
  <c r="G39" i="8"/>
  <c r="D39" i="8"/>
  <c r="G38" i="8"/>
  <c r="I38" i="8" s="1"/>
  <c r="D38" i="8"/>
  <c r="H38" i="8" s="1"/>
  <c r="H37" i="8"/>
  <c r="G37" i="8"/>
  <c r="I37" i="8" s="1"/>
  <c r="G36" i="8"/>
  <c r="D36" i="8"/>
  <c r="H36" i="8" s="1"/>
  <c r="H35" i="8"/>
  <c r="G35" i="8"/>
  <c r="D35" i="8"/>
  <c r="G34" i="8"/>
  <c r="D34" i="8"/>
  <c r="H34" i="8" s="1"/>
  <c r="G33" i="8"/>
  <c r="D33" i="8"/>
  <c r="H33" i="8" s="1"/>
  <c r="G32" i="8"/>
  <c r="D32" i="8"/>
  <c r="H32" i="8" s="1"/>
  <c r="G31" i="8"/>
  <c r="D31" i="8"/>
  <c r="H31" i="8" s="1"/>
  <c r="Q30" i="8"/>
  <c r="G30" i="8"/>
  <c r="I30" i="8" s="1"/>
  <c r="D30" i="8"/>
  <c r="H30" i="8" s="1"/>
  <c r="Y28" i="8"/>
  <c r="Y29" i="8" s="1"/>
  <c r="AG27" i="8"/>
  <c r="AG28" i="8" s="1"/>
  <c r="AG29" i="8" s="1"/>
  <c r="Y27" i="8"/>
  <c r="Q25" i="8"/>
  <c r="Q26" i="8" s="1"/>
  <c r="Q27" i="8" s="1"/>
  <c r="H25" i="8"/>
  <c r="G25" i="8"/>
  <c r="I25" i="8" s="1"/>
  <c r="O24" i="8"/>
  <c r="H24" i="8"/>
  <c r="G24" i="8"/>
  <c r="I24" i="8" s="1"/>
  <c r="H23" i="8"/>
  <c r="G23" i="8"/>
  <c r="I23" i="8" s="1"/>
  <c r="O22" i="8"/>
  <c r="H22" i="8"/>
  <c r="G22" i="8"/>
  <c r="I22" i="8" s="1"/>
  <c r="O21" i="8"/>
  <c r="H21" i="8"/>
  <c r="G21" i="8"/>
  <c r="I21" i="8" s="1"/>
  <c r="O20" i="8"/>
  <c r="H20" i="8"/>
  <c r="G20" i="8"/>
  <c r="I20" i="8" s="1"/>
  <c r="O19" i="8"/>
  <c r="H19" i="8"/>
  <c r="G19" i="8"/>
  <c r="I19" i="8" s="1"/>
  <c r="O18" i="8"/>
  <c r="H18" i="8"/>
  <c r="G18" i="8"/>
  <c r="I18" i="8" s="1"/>
  <c r="O17" i="8"/>
  <c r="H17" i="8"/>
  <c r="G17" i="8"/>
  <c r="I17" i="8" s="1"/>
  <c r="O16" i="8"/>
  <c r="H16" i="8"/>
  <c r="G16" i="8"/>
  <c r="I16" i="8" s="1"/>
  <c r="U15" i="8"/>
  <c r="T15" i="8"/>
  <c r="S15" i="8"/>
  <c r="O15" i="8"/>
  <c r="H15" i="8"/>
  <c r="G15" i="8"/>
  <c r="I15" i="8" s="1"/>
  <c r="O14" i="8"/>
  <c r="H14" i="8"/>
  <c r="G14" i="8"/>
  <c r="I14" i="8" s="1"/>
  <c r="O13" i="8"/>
  <c r="H13" i="8"/>
  <c r="G13" i="8"/>
  <c r="I13" i="8" s="1"/>
  <c r="H12" i="8"/>
  <c r="G12" i="8"/>
  <c r="I12" i="8" s="1"/>
  <c r="O11" i="8"/>
  <c r="H11" i="8"/>
  <c r="G11" i="8"/>
  <c r="I11" i="8" s="1"/>
  <c r="O10" i="8"/>
  <c r="H10" i="8"/>
  <c r="G10" i="8"/>
  <c r="I10" i="8" s="1"/>
  <c r="O9" i="8"/>
  <c r="H9" i="8"/>
  <c r="G9" i="8"/>
  <c r="I9" i="8" s="1"/>
  <c r="O8" i="8"/>
  <c r="H8" i="8"/>
  <c r="G8" i="8"/>
  <c r="I8" i="8" s="1"/>
  <c r="I7" i="8"/>
  <c r="H7" i="8"/>
  <c r="G7" i="8"/>
  <c r="H6" i="8"/>
  <c r="G6" i="8"/>
  <c r="I6" i="8" s="1"/>
  <c r="H5" i="8"/>
  <c r="G5" i="8"/>
  <c r="I5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H4" i="8"/>
  <c r="G4" i="8"/>
  <c r="I4" i="8" s="1"/>
  <c r="E25" i="7"/>
  <c r="I25" i="7" s="1"/>
  <c r="J25" i="7" s="1"/>
  <c r="E23" i="7"/>
  <c r="F23" i="7" s="1"/>
  <c r="G23" i="7" s="1"/>
  <c r="E22" i="7"/>
  <c r="F22" i="7" s="1"/>
  <c r="G22" i="7" s="1"/>
  <c r="E20" i="7"/>
  <c r="F20" i="7" s="1"/>
  <c r="G20" i="7" s="1"/>
  <c r="E17" i="7"/>
  <c r="F17" i="7" s="1"/>
  <c r="G17" i="7" s="1"/>
  <c r="J12" i="7"/>
  <c r="G12" i="7"/>
  <c r="I12" i="7" s="1"/>
  <c r="G11" i="7"/>
  <c r="I11" i="7" s="1"/>
  <c r="J11" i="7" s="1"/>
  <c r="G10" i="7"/>
  <c r="I10" i="7" s="1"/>
  <c r="J10" i="7" s="1"/>
  <c r="I9" i="7"/>
  <c r="J9" i="7" s="1"/>
  <c r="G9" i="7"/>
  <c r="G8" i="7"/>
  <c r="I8" i="7" s="1"/>
  <c r="J8" i="7" s="1"/>
  <c r="G7" i="7"/>
  <c r="I7" i="7" s="1"/>
  <c r="J7" i="7" s="1"/>
  <c r="G6" i="7"/>
  <c r="I6" i="7" s="1"/>
  <c r="J6" i="7" s="1"/>
  <c r="C18" i="5"/>
  <c r="E18" i="5" s="1"/>
  <c r="H174" i="3" s="1"/>
  <c r="K174" i="3" s="1"/>
  <c r="D17" i="5"/>
  <c r="D16" i="5"/>
  <c r="D15" i="5"/>
  <c r="D14" i="5"/>
  <c r="C10" i="5"/>
  <c r="C17" i="5" s="1"/>
  <c r="G15" i="4"/>
  <c r="E15" i="4"/>
  <c r="I14" i="4"/>
  <c r="I15" i="4" s="1"/>
  <c r="C14" i="4"/>
  <c r="C15" i="4" s="1"/>
  <c r="K177" i="3"/>
  <c r="K176" i="3"/>
  <c r="H175" i="3"/>
  <c r="K175" i="3" s="1"/>
  <c r="K172" i="3"/>
  <c r="K171" i="3"/>
  <c r="C67" i="3"/>
  <c r="C66" i="3"/>
  <c r="D66" i="3" s="1"/>
  <c r="E66" i="3" s="1"/>
  <c r="C65" i="3"/>
  <c r="D65" i="3" s="1"/>
  <c r="C64" i="3"/>
  <c r="D64" i="3" s="1"/>
  <c r="C63" i="3"/>
  <c r="D63" i="3" s="1"/>
  <c r="C62" i="3"/>
  <c r="D62" i="3" s="1"/>
  <c r="E62" i="3" s="1"/>
  <c r="H62" i="3" s="1"/>
  <c r="K62" i="3" s="1"/>
  <c r="C61" i="3"/>
  <c r="D61" i="3" s="1"/>
  <c r="C60" i="3"/>
  <c r="D60" i="3" s="1"/>
  <c r="C59" i="3"/>
  <c r="D59" i="3" s="1"/>
  <c r="C58" i="3"/>
  <c r="D58" i="3" s="1"/>
  <c r="H152" i="3" s="1"/>
  <c r="K152" i="3" s="1"/>
  <c r="C57" i="3"/>
  <c r="D57" i="3" s="1"/>
  <c r="C56" i="3"/>
  <c r="D56" i="3" s="1"/>
  <c r="C55" i="3"/>
  <c r="D55" i="3" s="1"/>
  <c r="C54" i="3"/>
  <c r="D54" i="3" s="1"/>
  <c r="C53" i="3"/>
  <c r="D53" i="3" s="1"/>
  <c r="C52" i="3"/>
  <c r="D52" i="3" s="1"/>
  <c r="H51" i="3"/>
  <c r="K51" i="3" s="1"/>
  <c r="C51" i="3"/>
  <c r="D51" i="3" s="1"/>
  <c r="C50" i="3"/>
  <c r="D50" i="3" s="1"/>
  <c r="C49" i="3"/>
  <c r="D49" i="3" s="1"/>
  <c r="C48" i="3"/>
  <c r="D48" i="3" s="1"/>
  <c r="C47" i="3"/>
  <c r="D47" i="3" s="1"/>
  <c r="C46" i="3"/>
  <c r="D46" i="3" s="1"/>
  <c r="E46" i="3" s="1"/>
  <c r="F46" i="3" s="1"/>
  <c r="C45" i="3"/>
  <c r="D45" i="3" s="1"/>
  <c r="H133" i="3" s="1"/>
  <c r="K133" i="3" s="1"/>
  <c r="C44" i="3"/>
  <c r="D44" i="3" s="1"/>
  <c r="C43" i="3"/>
  <c r="D43" i="3" s="1"/>
  <c r="E43" i="3" s="1"/>
  <c r="C42" i="3"/>
  <c r="D42" i="3" s="1"/>
  <c r="C41" i="3"/>
  <c r="D41" i="3" s="1"/>
  <c r="C40" i="3"/>
  <c r="D40" i="3" s="1"/>
  <c r="H124" i="3" s="1"/>
  <c r="K124" i="3" s="1"/>
  <c r="C39" i="3"/>
  <c r="D39" i="3" s="1"/>
  <c r="C38" i="3"/>
  <c r="D38" i="3" s="1"/>
  <c r="E38" i="3" s="1"/>
  <c r="F38" i="3" s="1"/>
  <c r="C37" i="3"/>
  <c r="D37" i="3" s="1"/>
  <c r="H118" i="3" s="1"/>
  <c r="K118" i="3" s="1"/>
  <c r="C36" i="3"/>
  <c r="D36" i="3" s="1"/>
  <c r="C35" i="3"/>
  <c r="D35" i="3" s="1"/>
  <c r="E35" i="3" s="1"/>
  <c r="C34" i="3"/>
  <c r="D34" i="3" s="1"/>
  <c r="E34" i="3" s="1"/>
  <c r="F34" i="3" s="1"/>
  <c r="C33" i="3"/>
  <c r="D33" i="3" s="1"/>
  <c r="C32" i="3"/>
  <c r="D32" i="3" s="1"/>
  <c r="H108" i="3" s="1"/>
  <c r="K108" i="3" s="1"/>
  <c r="C31" i="3"/>
  <c r="D31" i="3" s="1"/>
  <c r="H106" i="3" s="1"/>
  <c r="K106" i="3" s="1"/>
  <c r="C30" i="3"/>
  <c r="D30" i="3" s="1"/>
  <c r="E30" i="3" s="1"/>
  <c r="F30" i="3" s="1"/>
  <c r="C29" i="3"/>
  <c r="D29" i="3" s="1"/>
  <c r="E29" i="3" s="1"/>
  <c r="H29" i="3" s="1"/>
  <c r="K29" i="3" s="1"/>
  <c r="C28" i="3"/>
  <c r="D28" i="3" s="1"/>
  <c r="C27" i="3"/>
  <c r="D27" i="3" s="1"/>
  <c r="C26" i="3"/>
  <c r="D26" i="3" s="1"/>
  <c r="E26" i="3" s="1"/>
  <c r="F26" i="3" s="1"/>
  <c r="C25" i="3"/>
  <c r="D25" i="3" s="1"/>
  <c r="C24" i="3"/>
  <c r="D24" i="3" s="1"/>
  <c r="C23" i="3"/>
  <c r="D23" i="3" s="1"/>
  <c r="E23" i="3" s="1"/>
  <c r="C22" i="3"/>
  <c r="D22" i="3" s="1"/>
  <c r="C21" i="3"/>
  <c r="D21" i="3" s="1"/>
  <c r="C20" i="3"/>
  <c r="D20" i="3" s="1"/>
  <c r="C19" i="3"/>
  <c r="D19" i="3" s="1"/>
  <c r="H87" i="3" s="1"/>
  <c r="K87" i="3" s="1"/>
  <c r="C18" i="3"/>
  <c r="D18" i="3" s="1"/>
  <c r="H86" i="3" s="1"/>
  <c r="K86" i="3" s="1"/>
  <c r="C17" i="3"/>
  <c r="D17" i="3" s="1"/>
  <c r="H85" i="3" s="1"/>
  <c r="K85" i="3" s="1"/>
  <c r="C16" i="3"/>
  <c r="D16" i="3" s="1"/>
  <c r="H84" i="3" s="1"/>
  <c r="K84" i="3" s="1"/>
  <c r="C15" i="3"/>
  <c r="D15" i="3" s="1"/>
  <c r="C14" i="3"/>
  <c r="D14" i="3" s="1"/>
  <c r="H82" i="3" s="1"/>
  <c r="K82" i="3" s="1"/>
  <c r="C13" i="3"/>
  <c r="D13" i="3" s="1"/>
  <c r="C12" i="3"/>
  <c r="D12" i="3" s="1"/>
  <c r="H79" i="3" s="1"/>
  <c r="K79" i="3" s="1"/>
  <c r="C11" i="3"/>
  <c r="D11" i="3" s="1"/>
  <c r="E11" i="3" s="1"/>
  <c r="F11" i="3" s="1"/>
  <c r="C10" i="3"/>
  <c r="D10" i="3" s="1"/>
  <c r="E10" i="3" s="1"/>
  <c r="C9" i="3"/>
  <c r="D9" i="3" s="1"/>
  <c r="H75" i="3" s="1"/>
  <c r="K75" i="3" s="1"/>
  <c r="C8" i="3"/>
  <c r="D8" i="3" s="1"/>
  <c r="H74" i="3" s="1"/>
  <c r="K74" i="3" s="1"/>
  <c r="C7" i="3"/>
  <c r="D7" i="3" s="1"/>
  <c r="E7" i="3" s="1"/>
  <c r="C6" i="3"/>
  <c r="D6" i="3" s="1"/>
  <c r="H72" i="3" s="1"/>
  <c r="K72" i="3" s="1"/>
  <c r="C5" i="3"/>
  <c r="D5" i="3" s="1"/>
  <c r="H71" i="3" s="1"/>
  <c r="K71" i="3" s="1"/>
  <c r="C4" i="3"/>
  <c r="D4" i="3" s="1"/>
  <c r="I31" i="8" l="1"/>
  <c r="I46" i="8"/>
  <c r="I53" i="8"/>
  <c r="I67" i="8"/>
  <c r="I69" i="8"/>
  <c r="E17" i="5"/>
  <c r="H173" i="3" s="1"/>
  <c r="K173" i="3" s="1"/>
  <c r="I54" i="8"/>
  <c r="I56" i="8"/>
  <c r="I66" i="8"/>
  <c r="E45" i="3"/>
  <c r="H45" i="3" s="1"/>
  <c r="K45" i="3" s="1"/>
  <c r="E19" i="3"/>
  <c r="F19" i="3" s="1"/>
  <c r="C16" i="5"/>
  <c r="E16" i="5" s="1"/>
  <c r="H170" i="3" s="1"/>
  <c r="K170" i="3" s="1"/>
  <c r="F23" i="3"/>
  <c r="H23" i="3"/>
  <c r="K23" i="3" s="1"/>
  <c r="H91" i="3"/>
  <c r="K91" i="3" s="1"/>
  <c r="E22" i="3"/>
  <c r="F22" i="3" s="1"/>
  <c r="F35" i="3"/>
  <c r="H35" i="3"/>
  <c r="K35" i="3" s="1"/>
  <c r="H126" i="3"/>
  <c r="K126" i="3" s="1"/>
  <c r="E42" i="3"/>
  <c r="F42" i="3" s="1"/>
  <c r="I55" i="8"/>
  <c r="H55" i="8"/>
  <c r="E14" i="3"/>
  <c r="F14" i="3" s="1"/>
  <c r="F43" i="3"/>
  <c r="H43" i="3"/>
  <c r="K43" i="3" s="1"/>
  <c r="H144" i="3"/>
  <c r="K144" i="3" s="1"/>
  <c r="E52" i="3"/>
  <c r="H52" i="3" s="1"/>
  <c r="K52" i="3" s="1"/>
  <c r="E58" i="3"/>
  <c r="H58" i="3" s="1"/>
  <c r="K58" i="3" s="1"/>
  <c r="H163" i="3"/>
  <c r="K163" i="3" s="1"/>
  <c r="E64" i="3"/>
  <c r="H64" i="3" s="1"/>
  <c r="K64" i="3" s="1"/>
  <c r="H83" i="3"/>
  <c r="K83" i="3" s="1"/>
  <c r="E15" i="3"/>
  <c r="E18" i="3"/>
  <c r="F18" i="3" s="1"/>
  <c r="H125" i="3"/>
  <c r="K125" i="3" s="1"/>
  <c r="E41" i="3"/>
  <c r="H78" i="3"/>
  <c r="K78" i="3" s="1"/>
  <c r="I33" i="8"/>
  <c r="I68" i="8"/>
  <c r="H68" i="8"/>
  <c r="I71" i="8"/>
  <c r="H90" i="3"/>
  <c r="K90" i="3" s="1"/>
  <c r="E21" i="3"/>
  <c r="H95" i="3"/>
  <c r="K95" i="3" s="1"/>
  <c r="E25" i="3"/>
  <c r="E27" i="3"/>
  <c r="H98" i="3"/>
  <c r="K98" i="3" s="1"/>
  <c r="H107" i="3"/>
  <c r="K107" i="3" s="1"/>
  <c r="E31" i="3"/>
  <c r="H109" i="3"/>
  <c r="K109" i="3" s="1"/>
  <c r="H110" i="3"/>
  <c r="K110" i="3" s="1"/>
  <c r="H117" i="3"/>
  <c r="K117" i="3" s="1"/>
  <c r="E37" i="3"/>
  <c r="F45" i="3"/>
  <c r="H142" i="3"/>
  <c r="K142" i="3" s="1"/>
  <c r="E50" i="3"/>
  <c r="F50" i="3" s="1"/>
  <c r="H157" i="3"/>
  <c r="K157" i="3" s="1"/>
  <c r="E60" i="3"/>
  <c r="H60" i="3" s="1"/>
  <c r="K60" i="3" s="1"/>
  <c r="F66" i="3"/>
  <c r="H66" i="3"/>
  <c r="H19" i="3"/>
  <c r="K19" i="3" s="1"/>
  <c r="F29" i="3"/>
  <c r="E33" i="3"/>
  <c r="H113" i="3"/>
  <c r="K113" i="3" s="1"/>
  <c r="H114" i="3"/>
  <c r="K114" i="3" s="1"/>
  <c r="H80" i="3"/>
  <c r="K80" i="3" s="1"/>
  <c r="H81" i="3"/>
  <c r="K81" i="3" s="1"/>
  <c r="H143" i="3"/>
  <c r="K143" i="3" s="1"/>
  <c r="F51" i="3"/>
  <c r="H149" i="3"/>
  <c r="K149" i="3" s="1"/>
  <c r="E56" i="3"/>
  <c r="H56" i="3" s="1"/>
  <c r="K56" i="3" s="1"/>
  <c r="H11" i="3"/>
  <c r="K11" i="3" s="1"/>
  <c r="E13" i="3"/>
  <c r="F13" i="3" s="1"/>
  <c r="E17" i="3"/>
  <c r="H101" i="3"/>
  <c r="K101" i="3" s="1"/>
  <c r="H102" i="3"/>
  <c r="K102" i="3" s="1"/>
  <c r="H122" i="3"/>
  <c r="K122" i="3" s="1"/>
  <c r="E39" i="3"/>
  <c r="H137" i="3"/>
  <c r="K137" i="3" s="1"/>
  <c r="E47" i="3"/>
  <c r="H138" i="3"/>
  <c r="K138" i="3" s="1"/>
  <c r="H141" i="3"/>
  <c r="K141" i="3" s="1"/>
  <c r="E49" i="3"/>
  <c r="H147" i="3"/>
  <c r="K147" i="3" s="1"/>
  <c r="E54" i="3"/>
  <c r="H54" i="3" s="1"/>
  <c r="K54" i="3" s="1"/>
  <c r="H166" i="3"/>
  <c r="H167" i="3"/>
  <c r="H94" i="3"/>
  <c r="K94" i="3" s="1"/>
  <c r="O26" i="8"/>
  <c r="O27" i="8" s="1"/>
  <c r="I39" i="8"/>
  <c r="H39" i="8"/>
  <c r="H74" i="8" s="1"/>
  <c r="I42" i="8"/>
  <c r="I65" i="8"/>
  <c r="I36" i="8"/>
  <c r="I45" i="8"/>
  <c r="I48" i="8"/>
  <c r="I61" i="8"/>
  <c r="I49" i="8"/>
  <c r="I52" i="8"/>
  <c r="I32" i="8"/>
  <c r="I34" i="8"/>
  <c r="I35" i="8"/>
  <c r="I41" i="8"/>
  <c r="I43" i="8"/>
  <c r="I44" i="8"/>
  <c r="H51" i="8"/>
  <c r="I57" i="8"/>
  <c r="I59" i="8"/>
  <c r="I60" i="8"/>
  <c r="H64" i="8"/>
  <c r="I70" i="8"/>
  <c r="I72" i="8"/>
  <c r="I73" i="8"/>
  <c r="H7" i="3"/>
  <c r="K7" i="3" s="1"/>
  <c r="F7" i="3"/>
  <c r="F10" i="3"/>
  <c r="H10" i="3"/>
  <c r="K10" i="3" s="1"/>
  <c r="H70" i="3"/>
  <c r="K70" i="3" s="1"/>
  <c r="D67" i="3"/>
  <c r="E4" i="3"/>
  <c r="E6" i="3"/>
  <c r="H93" i="3"/>
  <c r="K93" i="3" s="1"/>
  <c r="H92" i="3"/>
  <c r="K92" i="3" s="1"/>
  <c r="H26" i="3"/>
  <c r="K26" i="3" s="1"/>
  <c r="H99" i="3"/>
  <c r="K99" i="3" s="1"/>
  <c r="H100" i="3"/>
  <c r="K100" i="3" s="1"/>
  <c r="H30" i="3"/>
  <c r="K30" i="3" s="1"/>
  <c r="H34" i="3"/>
  <c r="K34" i="3" s="1"/>
  <c r="H115" i="3"/>
  <c r="K115" i="3" s="1"/>
  <c r="H116" i="3"/>
  <c r="K116" i="3" s="1"/>
  <c r="H38" i="3"/>
  <c r="K38" i="3" s="1"/>
  <c r="H131" i="3"/>
  <c r="K131" i="3" s="1"/>
  <c r="H130" i="3"/>
  <c r="K130" i="3" s="1"/>
  <c r="H46" i="3"/>
  <c r="K46" i="3" s="1"/>
  <c r="H139" i="3"/>
  <c r="K139" i="3" s="1"/>
  <c r="H140" i="3"/>
  <c r="K140" i="3" s="1"/>
  <c r="F52" i="3"/>
  <c r="F60" i="3"/>
  <c r="F62" i="3"/>
  <c r="H73" i="3"/>
  <c r="K73" i="3" s="1"/>
  <c r="E8" i="3"/>
  <c r="H89" i="3"/>
  <c r="K89" i="3" s="1"/>
  <c r="H88" i="3"/>
  <c r="K88" i="3" s="1"/>
  <c r="E5" i="3"/>
  <c r="E9" i="3"/>
  <c r="E12" i="3"/>
  <c r="E16" i="3"/>
  <c r="E20" i="3"/>
  <c r="E24" i="3"/>
  <c r="E28" i="3"/>
  <c r="E32" i="3"/>
  <c r="E36" i="3"/>
  <c r="E40" i="3"/>
  <c r="E44" i="3"/>
  <c r="E48" i="3"/>
  <c r="H77" i="3"/>
  <c r="K77" i="3" s="1"/>
  <c r="H76" i="3"/>
  <c r="K76" i="3" s="1"/>
  <c r="H97" i="3"/>
  <c r="K97" i="3" s="1"/>
  <c r="H96" i="3"/>
  <c r="K96" i="3" s="1"/>
  <c r="H105" i="3"/>
  <c r="K105" i="3" s="1"/>
  <c r="H103" i="3"/>
  <c r="K103" i="3" s="1"/>
  <c r="H104" i="3"/>
  <c r="K104" i="3" s="1"/>
  <c r="H111" i="3"/>
  <c r="K111" i="3" s="1"/>
  <c r="H112" i="3"/>
  <c r="K112" i="3" s="1"/>
  <c r="H119" i="3"/>
  <c r="K119" i="3" s="1"/>
  <c r="H120" i="3"/>
  <c r="K120" i="3" s="1"/>
  <c r="H135" i="3"/>
  <c r="K135" i="3" s="1"/>
  <c r="H134" i="3"/>
  <c r="K134" i="3" s="1"/>
  <c r="H136" i="3"/>
  <c r="K136" i="3" s="1"/>
  <c r="H145" i="3"/>
  <c r="K145" i="3" s="1"/>
  <c r="H146" i="3"/>
  <c r="K146" i="3" s="1"/>
  <c r="E53" i="3"/>
  <c r="H148" i="3"/>
  <c r="K148" i="3" s="1"/>
  <c r="E55" i="3"/>
  <c r="H150" i="3"/>
  <c r="K150" i="3" s="1"/>
  <c r="E57" i="3"/>
  <c r="H155" i="3"/>
  <c r="K155" i="3" s="1"/>
  <c r="H154" i="3"/>
  <c r="K154" i="3" s="1"/>
  <c r="E59" i="3"/>
  <c r="H159" i="3"/>
  <c r="K159" i="3" s="1"/>
  <c r="H158" i="3"/>
  <c r="K158" i="3" s="1"/>
  <c r="E61" i="3"/>
  <c r="H161" i="3"/>
  <c r="K161" i="3" s="1"/>
  <c r="H160" i="3"/>
  <c r="K160" i="3" s="1"/>
  <c r="E63" i="3"/>
  <c r="H165" i="3"/>
  <c r="H164" i="3"/>
  <c r="E65" i="3"/>
  <c r="H123" i="3"/>
  <c r="K123" i="3" s="1"/>
  <c r="H121" i="3"/>
  <c r="K121" i="3" s="1"/>
  <c r="H129" i="3"/>
  <c r="K129" i="3" s="1"/>
  <c r="H127" i="3"/>
  <c r="K127" i="3" s="1"/>
  <c r="H128" i="3"/>
  <c r="K128" i="3" s="1"/>
  <c r="H132" i="3"/>
  <c r="K132" i="3" s="1"/>
  <c r="H156" i="3"/>
  <c r="K156" i="3" s="1"/>
  <c r="I74" i="8"/>
  <c r="H153" i="3"/>
  <c r="K153" i="3" s="1"/>
  <c r="H151" i="3"/>
  <c r="K151" i="3" s="1"/>
  <c r="A68" i="8"/>
  <c r="A69" i="8" s="1"/>
  <c r="A70" i="8" s="1"/>
  <c r="A71" i="8" s="1"/>
  <c r="A72" i="8" s="1"/>
  <c r="A73" i="8" s="1"/>
  <c r="A67" i="8"/>
  <c r="H162" i="3"/>
  <c r="K162" i="3" s="1"/>
  <c r="C15" i="5"/>
  <c r="E15" i="5" s="1"/>
  <c r="H169" i="3" s="1"/>
  <c r="K169" i="3" s="1"/>
  <c r="C14" i="5"/>
  <c r="E14" i="5" s="1"/>
  <c r="H168" i="3" s="1"/>
  <c r="K168" i="3" s="1"/>
  <c r="F54" i="3" l="1"/>
  <c r="H14" i="3"/>
  <c r="K14" i="3" s="1"/>
  <c r="H18" i="3"/>
  <c r="K18" i="3" s="1"/>
  <c r="H50" i="3"/>
  <c r="K50" i="3" s="1"/>
  <c r="H13" i="3"/>
  <c r="K13" i="3" s="1"/>
  <c r="F64" i="3"/>
  <c r="F47" i="3"/>
  <c r="H47" i="3"/>
  <c r="K47" i="3" s="1"/>
  <c r="H33" i="3"/>
  <c r="K33" i="3" s="1"/>
  <c r="F33" i="3"/>
  <c r="H41" i="3"/>
  <c r="K41" i="3" s="1"/>
  <c r="F41" i="3"/>
  <c r="F58" i="3"/>
  <c r="H22" i="3"/>
  <c r="K22" i="3" s="1"/>
  <c r="F39" i="3"/>
  <c r="H39" i="3"/>
  <c r="K39" i="3" s="1"/>
  <c r="H17" i="3"/>
  <c r="K17" i="3" s="1"/>
  <c r="F17" i="3"/>
  <c r="H21" i="3"/>
  <c r="K21" i="3" s="1"/>
  <c r="F21" i="3"/>
  <c r="H37" i="3"/>
  <c r="K37" i="3" s="1"/>
  <c r="F37" i="3"/>
  <c r="F31" i="3"/>
  <c r="H31" i="3"/>
  <c r="K31" i="3" s="1"/>
  <c r="H25" i="3"/>
  <c r="K25" i="3" s="1"/>
  <c r="F25" i="3"/>
  <c r="F15" i="3"/>
  <c r="H15" i="3"/>
  <c r="K15" i="3" s="1"/>
  <c r="H49" i="3"/>
  <c r="K49" i="3" s="1"/>
  <c r="F49" i="3"/>
  <c r="F56" i="3"/>
  <c r="H42" i="3"/>
  <c r="K42" i="3" s="1"/>
  <c r="F27" i="3"/>
  <c r="H27" i="3"/>
  <c r="K27" i="3" s="1"/>
  <c r="F24" i="3"/>
  <c r="H24" i="3"/>
  <c r="K24" i="3" s="1"/>
  <c r="K178" i="3"/>
  <c r="F61" i="3"/>
  <c r="H61" i="3"/>
  <c r="K61" i="3" s="1"/>
  <c r="F55" i="3"/>
  <c r="H55" i="3"/>
  <c r="K55" i="3" s="1"/>
  <c r="F36" i="3"/>
  <c r="H36" i="3"/>
  <c r="K36" i="3" s="1"/>
  <c r="F20" i="3"/>
  <c r="H20" i="3"/>
  <c r="K20" i="3" s="1"/>
  <c r="H5" i="3"/>
  <c r="K5" i="3" s="1"/>
  <c r="F5" i="3"/>
  <c r="H6" i="3"/>
  <c r="K6" i="3" s="1"/>
  <c r="F6" i="3"/>
  <c r="F59" i="3"/>
  <c r="H59" i="3"/>
  <c r="K59" i="3" s="1"/>
  <c r="F9" i="3"/>
  <c r="H9" i="3"/>
  <c r="K9" i="3" s="1"/>
  <c r="F63" i="3"/>
  <c r="H63" i="3"/>
  <c r="K63" i="3" s="1"/>
  <c r="H48" i="3"/>
  <c r="K48" i="3" s="1"/>
  <c r="F48" i="3"/>
  <c r="F32" i="3"/>
  <c r="H32" i="3"/>
  <c r="K32" i="3" s="1"/>
  <c r="F16" i="3"/>
  <c r="H16" i="3"/>
  <c r="K16" i="3" s="1"/>
  <c r="E67" i="3"/>
  <c r="H4" i="3"/>
  <c r="F4" i="3"/>
  <c r="F67" i="3" s="1"/>
  <c r="F65" i="3"/>
  <c r="H65" i="3"/>
  <c r="F57" i="3"/>
  <c r="H57" i="3"/>
  <c r="K57" i="3" s="1"/>
  <c r="F53" i="3"/>
  <c r="H53" i="3"/>
  <c r="K53" i="3" s="1"/>
  <c r="F44" i="3"/>
  <c r="H44" i="3"/>
  <c r="K44" i="3" s="1"/>
  <c r="F28" i="3"/>
  <c r="H28" i="3"/>
  <c r="K28" i="3" s="1"/>
  <c r="F12" i="3"/>
  <c r="H12" i="3"/>
  <c r="K12" i="3" s="1"/>
  <c r="F40" i="3"/>
  <c r="H40" i="3"/>
  <c r="K40" i="3" s="1"/>
  <c r="H8" i="3"/>
  <c r="K8" i="3" s="1"/>
  <c r="F8" i="3"/>
  <c r="H67" i="3" l="1"/>
  <c r="K4" i="3"/>
  <c r="K68" i="3" s="1"/>
  <c r="K179" i="3" s="1"/>
  <c r="K181" i="3" l="1"/>
  <c r="K191" i="3" s="1"/>
  <c r="K180" i="3"/>
  <c r="K190" i="3" s="1"/>
  <c r="K18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6" authorId="0" shapeId="0" xr:uid="{00000000-0006-0000-0100-000001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Not yet released for all geographies</t>
        </r>
      </text>
    </comment>
    <comment ref="A45" authorId="0" shapeId="0" xr:uid="{00000000-0006-0000-0100-000002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Not yet released for all geographies</t>
        </r>
      </text>
    </comment>
    <comment ref="A93" authorId="0" shapeId="0" xr:uid="{00000000-0006-0000-0100-000003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 , as BioRad does not have this assay available in  their QC panal</t>
        </r>
      </text>
    </comment>
    <comment ref="A95" authorId="0" shapeId="0" xr:uid="{00000000-0006-0000-0100-000004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 , as BioRad does not have this assay available in  their QC panal</t>
        </r>
      </text>
    </comment>
    <comment ref="A97" authorId="0" shapeId="0" xr:uid="{00000000-0006-0000-0100-000005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 , as BioRad does not have this assay available in  their QC panal</t>
        </r>
      </text>
    </comment>
    <comment ref="A100" authorId="0" shapeId="0" xr:uid="{00000000-0006-0000-0100-000006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 , as BioRad does not have this assay available in  their QC panal</t>
        </r>
      </text>
    </comment>
    <comment ref="A105" authorId="0" shapeId="0" xr:uid="{00000000-0006-0000-0100-000007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Should be included if running RBC Folate</t>
        </r>
      </text>
    </comment>
    <comment ref="A107" authorId="0" shapeId="0" xr:uid="{00000000-0006-0000-0100-000008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Optional if not running in BioRad QC</t>
        </r>
      </text>
    </comment>
    <comment ref="A110" authorId="0" shapeId="0" xr:uid="{00000000-0006-0000-0100-000009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12" authorId="0" shapeId="0" xr:uid="{00000000-0006-0000-0100-00000A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14" authorId="0" shapeId="0" xr:uid="{00000000-0006-0000-0100-00000B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16" authorId="0" shapeId="0" xr:uid="{00000000-0006-0000-0100-00000C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18" authorId="0" shapeId="0" xr:uid="{00000000-0006-0000-0100-00000D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20" authorId="0" shapeId="0" xr:uid="{00000000-0006-0000-0100-00000E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23" authorId="0" shapeId="0" xr:uid="{00000000-0006-0000-0100-00000F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Optional if not running in BioRad QC</t>
        </r>
      </text>
    </comment>
    <comment ref="A129" authorId="0" shapeId="0" xr:uid="{00000000-0006-0000-0100-000010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Optional if not running in BioRad QC</t>
        </r>
      </text>
    </comment>
    <comment ref="A131" authorId="0" shapeId="0" xr:uid="{00000000-0006-0000-0100-000011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Optional if not running in BioRad QC</t>
        </r>
      </text>
    </comment>
    <comment ref="A133" authorId="0" shapeId="0" xr:uid="{00000000-0006-0000-0100-000012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 , as BioRad does not have this assay available in  their QC panal</t>
        </r>
      </text>
    </comment>
    <comment ref="A140" authorId="0" shapeId="0" xr:uid="{00000000-0006-0000-0100-000013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53" authorId="0" shapeId="0" xr:uid="{00000000-0006-0000-0100-000014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55" authorId="0" shapeId="0" xr:uid="{00000000-0006-0000-0100-000015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57" authorId="0" shapeId="0" xr:uid="{00000000-0006-0000-0100-000016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59" authorId="0" shapeId="0" xr:uid="{00000000-0006-0000-0100-000017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61" authorId="0" shapeId="0" xr:uid="{00000000-0006-0000-0100-000018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63" authorId="0" shapeId="0" xr:uid="{00000000-0006-0000-0100-000019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65" authorId="0" shapeId="0" xr:uid="{00000000-0006-0000-0100-00001A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  <comment ref="A167" authorId="0" shapeId="0" xr:uid="{00000000-0006-0000-0100-00001B000000}">
      <text>
        <r>
          <rPr>
            <b/>
            <sz val="8"/>
            <color rgb="FF000000"/>
            <rFont val="Arial"/>
            <family val="2"/>
            <charset val="238"/>
          </rPr>
          <t xml:space="preserve">Author:
</t>
        </r>
        <r>
          <rPr>
            <sz val="8"/>
            <color rgb="FF000000"/>
            <rFont val="Arial"/>
            <family val="2"/>
            <charset val="238"/>
          </rPr>
          <t>Mandatory</t>
        </r>
      </text>
    </comment>
  </commentList>
</comments>
</file>

<file path=xl/sharedStrings.xml><?xml version="1.0" encoding="utf-8"?>
<sst xmlns="http://schemas.openxmlformats.org/spreadsheetml/2006/main" count="698" uniqueCount="530">
  <si>
    <t>Lp.</t>
  </si>
  <si>
    <t>Nazwa produktu</t>
  </si>
  <si>
    <t>Liczba oznaczeń w okresie 36 miesięcy</t>
  </si>
  <si>
    <t>Liczba opakowań</t>
  </si>
  <si>
    <t>Zawartość opakowania</t>
  </si>
  <si>
    <t>Cena netto</t>
  </si>
  <si>
    <t>VAT (%)</t>
  </si>
  <si>
    <t>Cena brutto</t>
  </si>
  <si>
    <t>Wartość netto</t>
  </si>
  <si>
    <t>Wartość brutto</t>
  </si>
  <si>
    <t>Producent i numer katalogowy</t>
  </si>
  <si>
    <t>TSH 3 generacji</t>
  </si>
  <si>
    <t>Free T4</t>
  </si>
  <si>
    <t>Free T3</t>
  </si>
  <si>
    <t>Anty-TG</t>
  </si>
  <si>
    <t>Anty-TPO</t>
  </si>
  <si>
    <t>Beta HCG całkowite</t>
  </si>
  <si>
    <t>Prolaktyna</t>
  </si>
  <si>
    <t>Witamina B12</t>
  </si>
  <si>
    <t>Kwas foliowy (surowica)</t>
  </si>
  <si>
    <t>Ferrytyna</t>
  </si>
  <si>
    <t>PSA całkowity</t>
  </si>
  <si>
    <t>Witamina D</t>
  </si>
  <si>
    <t>Wysokoczuła troponina I</t>
  </si>
  <si>
    <t>HBsAg</t>
  </si>
  <si>
    <t>anty-HCV</t>
  </si>
  <si>
    <t>Kontrole</t>
  </si>
  <si>
    <t>Reagents</t>
  </si>
  <si>
    <t>PN</t>
  </si>
  <si>
    <t>Description</t>
  </si>
  <si>
    <t>Tests</t>
  </si>
  <si>
    <t>Total Tests</t>
  </si>
  <si>
    <t>Difference</t>
  </si>
  <si>
    <t>Tests/kit</t>
  </si>
  <si>
    <t>Kits per</t>
  </si>
  <si>
    <t>Qty mini</t>
  </si>
  <si>
    <t>Price /</t>
  </si>
  <si>
    <t>Total Price</t>
  </si>
  <si>
    <r>
      <t xml:space="preserve">YEAR </t>
    </r>
    <r>
      <rPr>
        <b/>
        <sz val="11"/>
        <color rgb="FF0000FF"/>
        <rFont val="Arial"/>
        <family val="2"/>
        <charset val="238"/>
      </rPr>
      <t xml:space="preserve">X </t>
    </r>
    <r>
      <rPr>
        <sz val="11"/>
        <color rgb="FF0000FF"/>
        <rFont val="Arial"/>
        <family val="2"/>
        <charset val="238"/>
      </rPr>
      <t xml:space="preserve">*YEAR </t>
    </r>
    <r>
      <rPr>
        <b/>
        <sz val="11"/>
        <color rgb="FF0000FF"/>
        <rFont val="Arial"/>
        <family val="2"/>
        <charset val="238"/>
      </rPr>
      <t xml:space="preserve">X </t>
    </r>
    <r>
      <rPr>
        <sz val="11"/>
        <color rgb="FF0000FF"/>
        <rFont val="Arial"/>
        <family val="2"/>
        <charset val="238"/>
      </rPr>
      <t>*</t>
    </r>
  </si>
  <si>
    <r>
      <t xml:space="preserve">YEAR </t>
    </r>
    <r>
      <rPr>
        <b/>
        <sz val="11"/>
        <color rgb="FF003366"/>
        <rFont val="Arial"/>
        <family val="2"/>
        <charset val="238"/>
      </rPr>
      <t>X+1</t>
    </r>
    <r>
      <rPr>
        <sz val="11"/>
        <color rgb="FF003366"/>
        <rFont val="Arial"/>
        <family val="2"/>
        <charset val="238"/>
      </rPr>
      <t xml:space="preserve"> (A)**YEAR </t>
    </r>
    <r>
      <rPr>
        <b/>
        <sz val="11"/>
        <color rgb="FF003366"/>
        <rFont val="Arial"/>
        <family val="2"/>
        <charset val="238"/>
      </rPr>
      <t>X+1</t>
    </r>
    <r>
      <rPr>
        <sz val="11"/>
        <color rgb="FF003366"/>
        <rFont val="Arial"/>
        <family val="2"/>
        <charset val="238"/>
      </rPr>
      <t xml:space="preserve"> (A)**</t>
    </r>
  </si>
  <si>
    <r>
      <t xml:space="preserve">per year </t>
    </r>
    <r>
      <rPr>
        <b/>
        <sz val="11"/>
        <color rgb="FF003366"/>
        <rFont val="Arial"/>
        <family val="2"/>
        <charset val="238"/>
      </rPr>
      <t>X+1</t>
    </r>
    <r>
      <rPr>
        <sz val="11"/>
        <color rgb="FF003366"/>
        <rFont val="Arial"/>
        <family val="2"/>
        <charset val="238"/>
      </rPr>
      <t xml:space="preserve"> (B)***per year </t>
    </r>
    <r>
      <rPr>
        <b/>
        <sz val="11"/>
        <color rgb="FF003366"/>
        <rFont val="Arial"/>
        <family val="2"/>
        <charset val="238"/>
      </rPr>
      <t>X+1</t>
    </r>
    <r>
      <rPr>
        <sz val="11"/>
        <color rgb="FF003366"/>
        <rFont val="Arial"/>
        <family val="2"/>
        <charset val="238"/>
      </rPr>
      <t xml:space="preserve"> (B)***</t>
    </r>
  </si>
  <si>
    <t>(A)-(B)</t>
  </si>
  <si>
    <t>(volume)</t>
  </si>
  <si>
    <t>year</t>
  </si>
  <si>
    <t>per year</t>
  </si>
  <si>
    <t>Kit $</t>
  </si>
  <si>
    <t>$</t>
  </si>
  <si>
    <t>hTSH Reagent (3rd Gen)</t>
  </si>
  <si>
    <t>Total T4 Reagent</t>
  </si>
  <si>
    <t>Total T3 Reagent</t>
  </si>
  <si>
    <t>T-Uptake Reagent</t>
  </si>
  <si>
    <t>Free T4 Reagent</t>
  </si>
  <si>
    <t>A13422</t>
  </si>
  <si>
    <t>Free T3 Reagent</t>
  </si>
  <si>
    <t>Thyroglobulin Reagent</t>
  </si>
  <si>
    <t>A32898</t>
  </si>
  <si>
    <t>Anti-Thyroglobulin II Reagent</t>
  </si>
  <si>
    <t>A12985</t>
  </si>
  <si>
    <t>TPO Ab reagent, 2 x 50 tests</t>
  </si>
  <si>
    <t>IgE Reagent</t>
  </si>
  <si>
    <t>hLH Reagent</t>
  </si>
  <si>
    <t>FSH Reagent</t>
  </si>
  <si>
    <t>(E2) Estradiol Reagent</t>
  </si>
  <si>
    <t>A85264</t>
  </si>
  <si>
    <t>Total B-hCG 5th IS WHO Reagent</t>
  </si>
  <si>
    <t>Prolactin Reagent</t>
  </si>
  <si>
    <t>Testosterone Reagent</t>
  </si>
  <si>
    <t>Progesterone Reagent</t>
  </si>
  <si>
    <t>Estriol Reagent</t>
  </si>
  <si>
    <t>A10826</t>
  </si>
  <si>
    <t>DHEAS Reagent</t>
  </si>
  <si>
    <t>AFP reagent, 300 tests incl. Cal set</t>
  </si>
  <si>
    <t>A48617</t>
  </si>
  <si>
    <t>SHBG</t>
  </si>
  <si>
    <t>A36097</t>
  </si>
  <si>
    <t>Inhibin A Reagent</t>
  </si>
  <si>
    <t>A48571</t>
  </si>
  <si>
    <t>PAPP-A (removed from Access2)</t>
  </si>
  <si>
    <t>A16364</t>
  </si>
  <si>
    <t>EPO reagent</t>
  </si>
  <si>
    <t>IF Ab Reagent</t>
  </si>
  <si>
    <t>B12 Reagent</t>
  </si>
  <si>
    <t>A98032</t>
  </si>
  <si>
    <t>Folate Reagent</t>
  </si>
  <si>
    <t>A32493</t>
  </si>
  <si>
    <t>sTfR Reagent</t>
  </si>
  <si>
    <t>Ferritin Reagent</t>
  </si>
  <si>
    <t>Rubella IgG Reagent</t>
  </si>
  <si>
    <t>A32937</t>
  </si>
  <si>
    <t>Rubella IgM Reagent</t>
  </si>
  <si>
    <t>A40702</t>
  </si>
  <si>
    <t>CMV IgG</t>
  </si>
  <si>
    <t>A40705</t>
  </si>
  <si>
    <t>CMV IgM</t>
  </si>
  <si>
    <t>A31588</t>
  </si>
  <si>
    <t>Toxo IgG Reagent</t>
  </si>
  <si>
    <t>Toxo IgM Reagent</t>
  </si>
  <si>
    <t>AFP Reagent</t>
  </si>
  <si>
    <t>OV monitor Reagent (CA 125 Ag)</t>
  </si>
  <si>
    <t>GI monitor Reagent (CA 19.9 Ag)</t>
  </si>
  <si>
    <t>BR monitor Reagent (CA 15.3 Ag)</t>
  </si>
  <si>
    <t>PSA  Hybritech Reagent</t>
  </si>
  <si>
    <t>fPSA Hybritech Reagent</t>
  </si>
  <si>
    <t>A49752</t>
  </si>
  <si>
    <t>2pPSA</t>
  </si>
  <si>
    <t>CEA Reagent</t>
  </si>
  <si>
    <t>A16369</t>
  </si>
  <si>
    <t>IL-6 Reagent</t>
  </si>
  <si>
    <t>Ostase Reagent</t>
  </si>
  <si>
    <t>A16972</t>
  </si>
  <si>
    <t>ipTH Reagent</t>
  </si>
  <si>
    <t>hGH Reagent</t>
  </si>
  <si>
    <t>B24838</t>
  </si>
  <si>
    <t>25(OH) Vitamin D Reagent</t>
  </si>
  <si>
    <t>Insulin Reagent</t>
  </si>
  <si>
    <t>Cortisol Reagent</t>
  </si>
  <si>
    <t>CK-MB Reagent</t>
  </si>
  <si>
    <t>Myoglobin Reagent</t>
  </si>
  <si>
    <t>A98143</t>
  </si>
  <si>
    <t>AccuTnI+3 Reagent</t>
  </si>
  <si>
    <t>Digoxin Reagent</t>
  </si>
  <si>
    <t>HAV Ab Reagent</t>
  </si>
  <si>
    <t>HAV IgM Reagent</t>
  </si>
  <si>
    <t>A24296</t>
  </si>
  <si>
    <t>HBsAb Reagent</t>
  </si>
  <si>
    <t>A24291</t>
  </si>
  <si>
    <t>HBsAg Reagent</t>
  </si>
  <si>
    <t>A24295</t>
  </si>
  <si>
    <t>HBsAg confirmatory Reagent</t>
  </si>
  <si>
    <t>HBcAb Reagent</t>
  </si>
  <si>
    <t>HBc-IgM Reagent</t>
  </si>
  <si>
    <t>A59428</t>
  </si>
  <si>
    <t>HIV Combo Reagent (BIORAD)</t>
  </si>
  <si>
    <t>See Biorad</t>
  </si>
  <si>
    <t>HCV plus Reagent (BIORAD)</t>
  </si>
  <si>
    <t>Total parameters</t>
  </si>
  <si>
    <t>Total tests</t>
  </si>
  <si>
    <t>Błąd:508</t>
  </si>
  <si>
    <t>Total tests price</t>
  </si>
  <si>
    <t>Calibrators and Consumables</t>
  </si>
  <si>
    <t>TSH (3rd Gen.) Calibrator Set, 4 ml / vial</t>
  </si>
  <si>
    <t>Total T4 Calibrator Set, 4 ml / vial</t>
  </si>
  <si>
    <t>Total T3 Calibrator Set, 4 ml / vial</t>
  </si>
  <si>
    <t>T-Uptake Calibrator 6x 1 level, 1 ml / vial</t>
  </si>
  <si>
    <t>Free T4 Calibrator Set, 2.5 ml / vial</t>
  </si>
  <si>
    <t>A13430</t>
  </si>
  <si>
    <t>Free T3 Calibrator Set, 2.5 ml / vial</t>
  </si>
  <si>
    <t>Thyroglobulin Calibrator Set,   2 ml / vial</t>
  </si>
  <si>
    <t>Thyroglobulin diluent 14 ml/vial</t>
  </si>
  <si>
    <t>A36920</t>
  </si>
  <si>
    <t>Anti-Thyroglobulin II Calibr.Set 2.5 ml /vial, S0 4 ml</t>
  </si>
  <si>
    <t>A18227</t>
  </si>
  <si>
    <t>TPO Ab calibrator set S0 - S5, 2 ml / vial</t>
  </si>
  <si>
    <t>IgE Calibrator Set (7), 4 ml / vial, S0 6 ml</t>
  </si>
  <si>
    <t>IgE diluent, 4 ml/vial</t>
  </si>
  <si>
    <t>LH Calibrator Set, 4 ml / vial</t>
  </si>
  <si>
    <t>FSH Calibrator Set, 4 ml / vial</t>
  </si>
  <si>
    <t>(E2) Estradiol Calibrator Set, 2.5 ml/vial,  S0 4 ml</t>
  </si>
  <si>
    <t>B11754</t>
  </si>
  <si>
    <t>Total B-hCG 5th IS WHO  Calibrator Set, 4 ml / vial</t>
  </si>
  <si>
    <t>Prolactin Calibrator Set, 2.5 ml / vial</t>
  </si>
  <si>
    <t>Testosterone Calibrator Set, 2.5 ml / vial</t>
  </si>
  <si>
    <t>Progesterone Calibrator Set, 2.5 ml / vial</t>
  </si>
  <si>
    <t>Progesterone diluent, 4 ml/vial</t>
  </si>
  <si>
    <t>Estriol Calibrator Set (7), 2.5 ml/vial, S0 4 ml</t>
  </si>
  <si>
    <t>A10827</t>
  </si>
  <si>
    <t>DHEAS, Calibrator Set, 2 ml / vial</t>
  </si>
  <si>
    <t>A48618</t>
  </si>
  <si>
    <t>SHBG Calibrator 1 X 1.0 ml/vial, 6x</t>
  </si>
  <si>
    <t>A48619</t>
  </si>
  <si>
    <t>SHBG QC 3 levels 2 X 2 ml/vial</t>
  </si>
  <si>
    <t>A36098</t>
  </si>
  <si>
    <t>Inhibin A Calibrator set, 2.5 ml/vial</t>
  </si>
  <si>
    <t>A36100</t>
  </si>
  <si>
    <t>Inhibin A QC, 3 levels, 2 vials/level, 2.5 ml/vial</t>
  </si>
  <si>
    <t>A48572</t>
  </si>
  <si>
    <t>PAPP-A calibrator 6 x 4 ml/vial (removed from Access2)</t>
  </si>
  <si>
    <t>A48573</t>
  </si>
  <si>
    <t>PAPP-A QC 3 level 2 x 2.5 ml/vial (removed from Access2)</t>
  </si>
  <si>
    <t>A16365</t>
  </si>
  <si>
    <t>EPO calibrator Set 2.5 ml / vial, S0 10 ml / vial</t>
  </si>
  <si>
    <t>IF Ab Calibrator S0, 2 x 4 ml / vial</t>
  </si>
  <si>
    <t>IF Ab Control , 2 levels 3x 4 ml / vial</t>
  </si>
  <si>
    <t>B12 Calibrator Set, 4 ml / vial</t>
  </si>
  <si>
    <t>B12 diluent, 1 x 4 ml</t>
  </si>
  <si>
    <t>A98033</t>
  </si>
  <si>
    <t>Folate Calibrator Set, 4 ml / vial</t>
  </si>
  <si>
    <t>Folate diluent, 1 x 4 ml</t>
  </si>
  <si>
    <t>A14206</t>
  </si>
  <si>
    <t>RBC Folate Lyse solution</t>
  </si>
  <si>
    <t>A32494</t>
  </si>
  <si>
    <t>sTfR Calibrator set, 2.5 ml/ vial</t>
  </si>
  <si>
    <t>B11057</t>
  </si>
  <si>
    <t>sTrF QC, 2 level, 2 vials/ level</t>
  </si>
  <si>
    <t>Ferritin Calibrator Set, 4 ml / vial</t>
  </si>
  <si>
    <t>Rubella IgG Calibrator Set, 1 ml / vial</t>
  </si>
  <si>
    <t>Rubella IgG QC Set, 2 x 2.5 ml / vial, 2 levels</t>
  </si>
  <si>
    <t>Rubella IgM Calibrator Set (4), 1 ml / vial</t>
  </si>
  <si>
    <t>Rubella IgM QC Set, 2 x 2.5 ml / vial, 2 levels</t>
  </si>
  <si>
    <t>A40703</t>
  </si>
  <si>
    <t>CMV IgG Calibrator 1.0 ml / vial, 6x</t>
  </si>
  <si>
    <t>A40704</t>
  </si>
  <si>
    <t>CMV IgG QC 2 levels 3 x 2.5 ml</t>
  </si>
  <si>
    <t>A40706</t>
  </si>
  <si>
    <t>CMV IgM Calibrator 1.0 ml / vial, 6x</t>
  </si>
  <si>
    <t>A40707</t>
  </si>
  <si>
    <t>CMV IgM QC 2 levels 3 x 2.5 ml</t>
  </si>
  <si>
    <t>A31589</t>
  </si>
  <si>
    <t>Toxo IgG Calibrator Set, 1 ml / vial</t>
  </si>
  <si>
    <t>A31590</t>
  </si>
  <si>
    <t>Toxo IgG QC Set, 2 levels, 3 x 2.5 ml /  level</t>
  </si>
  <si>
    <t>Toxo IgM II Calibrator Set, 1.5 ml / vial 2 levels</t>
  </si>
  <si>
    <t>Toxo IgM II QC Set, 2 level, 3 x 3.5 ml / level</t>
  </si>
  <si>
    <t>AFP Calibrator Set (7),  2.5 ml / vial</t>
  </si>
  <si>
    <t>AFP Sample diluent, 4 ml vial</t>
  </si>
  <si>
    <t>AFP QC control 3 levels, 2 x 4ml /level</t>
  </si>
  <si>
    <t>OV monitor calibrator 2.5 ml / vial</t>
  </si>
  <si>
    <t>GI monitor Calibrator 2.5 ml / vial</t>
  </si>
  <si>
    <t>BR monitor Calibrator 2.5  ml / vial</t>
  </si>
  <si>
    <t>PSA Calibrator Set, 2.5  ml / vial</t>
  </si>
  <si>
    <t>PSA Diluent, 1 x 4 ml</t>
  </si>
  <si>
    <t>PSA QC, 3 levels 1 x 5 ml / level</t>
  </si>
  <si>
    <t>fPSA Calibrator set, 2.5 ml / vial</t>
  </si>
  <si>
    <t>fPSA QC set, 2 levels, 1 x 5 ml / level</t>
  </si>
  <si>
    <t>A49753</t>
  </si>
  <si>
    <t>p2PSA Calibrator 7 x 2.1 ml</t>
  </si>
  <si>
    <t>A56934</t>
  </si>
  <si>
    <t>p2PSA QC 3 levels 1x 5 ml</t>
  </si>
  <si>
    <t>CEA Calibrator Set, 2.5 ml/vial</t>
  </si>
  <si>
    <t>CEA diluent, 1 x 4 ml</t>
  </si>
  <si>
    <t>CEA QC,  2 levels, 3 x 2.5 ml/level</t>
  </si>
  <si>
    <t>A16370</t>
  </si>
  <si>
    <t>IL-6 Calibrator Set, 2.5 ml / vial, S0 4 ml / vial</t>
  </si>
  <si>
    <t>A16371</t>
  </si>
  <si>
    <t>IL-6 QC Set, tri -level: 2 x 2.5 ml / vial</t>
  </si>
  <si>
    <t>Ostase Calibrator Set, 2.5 ml / vial</t>
  </si>
  <si>
    <t>Ostase QC 2 levels, 4.0 ml / vial</t>
  </si>
  <si>
    <t>A16953</t>
  </si>
  <si>
    <t>pTH Calibrator 6x 1 level, 1 ml / vial, S0 4 ml / vial</t>
  </si>
  <si>
    <t>hGH Calibrator Set Lyophilized, 2 ml /vial</t>
  </si>
  <si>
    <t>B24839</t>
  </si>
  <si>
    <t>25(OH) Vitamin D Calibrator 1.4 ml/vial</t>
  </si>
  <si>
    <t>Insulin Calibrator Set, 2 ml / vial, lyophilized</t>
  </si>
  <si>
    <t>Cortisol Calibrator Set, 4 ml / vial</t>
  </si>
  <si>
    <t>Cortisol diluent 1 x 4 ml</t>
  </si>
  <si>
    <t>CK-MB Calibrator Set, 2 ml / vial</t>
  </si>
  <si>
    <t>Myoglobin Calibrator Set, 1 ml / vial</t>
  </si>
  <si>
    <t>A98144</t>
  </si>
  <si>
    <t>Accu TnI+3 Calibrator Set, 1 ml / vial</t>
  </si>
  <si>
    <t>Digoxin Calibrator Set, 4 ml / vial</t>
  </si>
  <si>
    <t>Digoxin diluent, 1 x 4 ml</t>
  </si>
  <si>
    <t>HAV Ab calibrator Set, 2 ml/vial</t>
  </si>
  <si>
    <t>HAV Ab QC, 3.5 ml/vial</t>
  </si>
  <si>
    <t>HAV IgM (calibrator) Controls, 1 ml / vial</t>
  </si>
  <si>
    <t>HAV IgM QC, 3x2.5. ml / vial, 2 levels</t>
  </si>
  <si>
    <t>A24297</t>
  </si>
  <si>
    <t>HBsAb Calibrator Set, 2.5 ml / vial</t>
  </si>
  <si>
    <t>A24298</t>
  </si>
  <si>
    <t>HBsAb QC set, 2 level 3 vial / level 3.5 ml / vial</t>
  </si>
  <si>
    <t>A24292</t>
  </si>
  <si>
    <t>HBsAg (calibrator) Controls, 3.7 ml / Vial</t>
  </si>
  <si>
    <t>A24294</t>
  </si>
  <si>
    <t>HBsAg QC, 2x4 ml / vial, 2 levels</t>
  </si>
  <si>
    <t>HBcAb (calibrator) Controls, 1 ml / vial</t>
  </si>
  <si>
    <t>HBcAb QC, 2 ml / vial  (for 400 runs or 30 days)</t>
  </si>
  <si>
    <t>HBc-IgM (calibrator) Controls, 2 x 1 ml</t>
  </si>
  <si>
    <t>HBc-IgM QC, 2 x 3 2.5 ml</t>
  </si>
  <si>
    <t>A59429</t>
  </si>
  <si>
    <t>HIV Combo (calibrator) , 3.5 ml x 2 Levels (BIORAD)</t>
  </si>
  <si>
    <t>A59430</t>
  </si>
  <si>
    <t>HIV Combo QC set, 4.3 ml x6 ,2 levels (BIORAD)</t>
  </si>
  <si>
    <t>HCV (calibrator) , 1 ml x 2 levels (BIORAD)</t>
  </si>
  <si>
    <t>HCV QC set, 2.5 ml x6 , 2 levels  (BIORAD)</t>
  </si>
  <si>
    <t>Waste Bags (20x) 20 x 300 = 6000 tests</t>
  </si>
  <si>
    <t>Substrate (4 x 130ml) 4 x 600 = 2400 tests</t>
  </si>
  <si>
    <t>A16792</t>
  </si>
  <si>
    <t>Wash Buffer (4x 2l) 4 x166 = ~600 tests</t>
  </si>
  <si>
    <t>Sample Diluent A 1 x 4ml</t>
  </si>
  <si>
    <t>System Check Solution, 6 x 4 ml</t>
  </si>
  <si>
    <t>Reaction Vessels (16 x 98) = 1568 tests</t>
  </si>
  <si>
    <t>Sample cups 2 ml, 1000x = 1000 tests</t>
  </si>
  <si>
    <t>Brush DISP. ASPIRATE 10/pkg</t>
  </si>
  <si>
    <t>Contrad 70, 1 l</t>
  </si>
  <si>
    <t>Citranox , 1 gallon</t>
  </si>
  <si>
    <t>Total Calib., Ctrs and supplies</t>
  </si>
  <si>
    <t>Total cost</t>
  </si>
  <si>
    <t>COST/TEST</t>
  </si>
  <si>
    <t>COST/RESULT</t>
  </si>
  <si>
    <t>% Estimated Workload increase</t>
  </si>
  <si>
    <t>* Workload as per your definition</t>
  </si>
  <si>
    <t>% of Rerun =</t>
  </si>
  <si>
    <t>** Workload Year X + Estimated Workload increase</t>
  </si>
  <si>
    <t>Nb of Controls / Day =</t>
  </si>
  <si>
    <t>***Calculation includes the % of reruns and yearly controls</t>
  </si>
  <si>
    <t>**** Need only to be filled in if 2 ml cups are used for sample processing. If not the minimum amount is 1.</t>
  </si>
  <si>
    <t xml:space="preserve"> </t>
  </si>
  <si>
    <t>% Discount</t>
  </si>
  <si>
    <t>Total</t>
  </si>
  <si>
    <t>per test</t>
  </si>
  <si>
    <t>per result</t>
  </si>
  <si>
    <t>Access2</t>
  </si>
  <si>
    <t>Assuming one year = 7 days per week and  52 weeks per year = 365 days</t>
  </si>
  <si>
    <t>Cycle</t>
  </si>
  <si>
    <t>RV's</t>
  </si>
  <si>
    <t>RV / year</t>
  </si>
  <si>
    <t>Substrate</t>
  </si>
  <si>
    <t>Substrate / year</t>
  </si>
  <si>
    <t>Wash Buffer</t>
  </si>
  <si>
    <t>Buffer / year</t>
  </si>
  <si>
    <t>Waste Bag</t>
  </si>
  <si>
    <t>Bags / year</t>
  </si>
  <si>
    <t>Substrate Prime (1 cycle)</t>
  </si>
  <si>
    <t>1.3 ml</t>
  </si>
  <si>
    <t>475 ml</t>
  </si>
  <si>
    <t>2 ml</t>
  </si>
  <si>
    <t>730 ml</t>
  </si>
  <si>
    <t>Main Pipettor Prime (1 cycle)</t>
  </si>
  <si>
    <t>9.6 ml</t>
  </si>
  <si>
    <t>3504 ml</t>
  </si>
  <si>
    <t>Dispense Probes</t>
  </si>
  <si>
    <t>1.5 ml</t>
  </si>
  <si>
    <t>548 ml</t>
  </si>
  <si>
    <t>*Special Clean</t>
  </si>
  <si>
    <t>120 ml</t>
  </si>
  <si>
    <t>6240 ml</t>
  </si>
  <si>
    <t>Daily Clean Probes</t>
  </si>
  <si>
    <t>60 ml</t>
  </si>
  <si>
    <t>21900ml</t>
  </si>
  <si>
    <t>**System Check</t>
  </si>
  <si>
    <t>7 ml</t>
  </si>
  <si>
    <t>364 ml</t>
  </si>
  <si>
    <t>154 ml</t>
  </si>
  <si>
    <t>8008 ml</t>
  </si>
  <si>
    <t>Utility assay (4 hourly wake-up if "on")</t>
  </si>
  <si>
    <t>0.6 ml</t>
  </si>
  <si>
    <t>1314 ml</t>
  </si>
  <si>
    <t>15 ml</t>
  </si>
  <si>
    <t>32850ml</t>
  </si>
  <si>
    <t>***Utility assay (as end of run)</t>
  </si>
  <si>
    <t>0.2 ml</t>
  </si>
  <si>
    <t>156 ml</t>
  </si>
  <si>
    <t>5.4 ml</t>
  </si>
  <si>
    <t>3942 ml</t>
  </si>
  <si>
    <t>One step assay (average)</t>
  </si>
  <si>
    <t>1 or 2</t>
  </si>
  <si>
    <t>0.2 ml (1 test)</t>
  </si>
  <si>
    <t>7.4ml</t>
  </si>
  <si>
    <t>Two step assay (average)</t>
  </si>
  <si>
    <t>14.8 ml</t>
  </si>
  <si>
    <t>Units</t>
  </si>
  <si>
    <t>Red Font Not included (optional)</t>
  </si>
  <si>
    <t>P/N 81901</t>
  </si>
  <si>
    <t>P/N 81906</t>
  </si>
  <si>
    <t>P/N A16792</t>
  </si>
  <si>
    <t>P/N 81904</t>
  </si>
  <si>
    <t>*Assumes daily special clean (B12)</t>
  </si>
  <si>
    <t>**Assumes on average 1 system checks passed per week - Wash buffer guesstimate as no spec yet defined</t>
  </si>
  <si>
    <t>*** Utility Assay - Wash buffer guesstimate as no spec yet defined</t>
  </si>
  <si>
    <t xml:space="preserve">    Calculation for one year assuming testing for 7 days a week 52 weeks a year plus totals per calculation base sheet</t>
  </si>
  <si>
    <t>Instructions:</t>
  </si>
  <si>
    <r>
      <t xml:space="preserve">Fill in the number of different assays being run in cell </t>
    </r>
    <r>
      <rPr>
        <b/>
        <sz val="11"/>
        <color rgb="FF0000FF"/>
        <rFont val="Arial"/>
        <family val="2"/>
        <charset val="238"/>
      </rPr>
      <t>C9</t>
    </r>
    <r>
      <rPr>
        <sz val="11"/>
        <color theme="1"/>
        <rFont val="Arial"/>
        <family val="2"/>
        <charset val="238"/>
      </rPr>
      <t xml:space="preserve"> (e.g. TSH, FT4, Vitamin B12, Folate, Ferritin, LH, FSH = </t>
    </r>
    <r>
      <rPr>
        <b/>
        <sz val="11"/>
        <color rgb="FF0000FF"/>
        <rFont val="Arial"/>
        <family val="2"/>
        <charset val="238"/>
      </rPr>
      <t>7</t>
    </r>
    <r>
      <rPr>
        <sz val="11"/>
        <color theme="1"/>
        <rFont val="Arial"/>
        <family val="2"/>
        <charset val="238"/>
      </rPr>
      <t>).</t>
    </r>
  </si>
  <si>
    <r>
      <t xml:space="preserve">Fill in the total number of tests (patient tests) per year in cell </t>
    </r>
    <r>
      <rPr>
        <b/>
        <sz val="11"/>
        <color rgb="FF0000FF"/>
        <rFont val="Arial"/>
        <family val="2"/>
        <charset val="238"/>
      </rPr>
      <t>C10</t>
    </r>
    <r>
      <rPr>
        <sz val="11"/>
        <color theme="1"/>
        <rFont val="Arial"/>
        <family val="2"/>
        <charset val="238"/>
      </rPr>
      <t xml:space="preserve">. The sheet will automatically calculate the consumables required.   </t>
    </r>
  </si>
  <si>
    <r>
      <t>Patient Tests, Calibration and Maintenance :</t>
    </r>
    <r>
      <rPr>
        <sz val="11"/>
        <color theme="1"/>
        <rFont val="Arial"/>
        <family val="2"/>
        <charset val="238"/>
      </rPr>
      <t xml:space="preserve"> consumables included to run all patient tests, calibrations and maintenance</t>
    </r>
  </si>
  <si>
    <r>
      <t>Total :</t>
    </r>
    <r>
      <rPr>
        <sz val="11"/>
        <color theme="1"/>
        <rFont val="Arial"/>
        <family val="2"/>
        <charset val="238"/>
      </rPr>
      <t xml:space="preserve"> Patient Tests, Calibrations, Maintenance and daily tri-level QC for all parameters, i.e. consumables for total tests</t>
    </r>
  </si>
  <si>
    <t>Number of different assays :</t>
  </si>
  <si>
    <t>Total Number of tests :</t>
  </si>
  <si>
    <t>p/n</t>
  </si>
  <si>
    <t>Consumable description &amp; packaging</t>
  </si>
  <si>
    <t>Patient tests, Calibration &amp; Maintenance ONLY</t>
  </si>
  <si>
    <t>Additional needed for daily QC - tri-level per assay</t>
  </si>
  <si>
    <t>Total: Patient Tests, Calibrations, Maintenance, &amp; Daily QC</t>
  </si>
  <si>
    <t>v</t>
  </si>
  <si>
    <t>metoda kalkulacji liczby</t>
  </si>
  <si>
    <t>opak. odczynników</t>
  </si>
  <si>
    <t>ilość</t>
  </si>
  <si>
    <t>stabilność</t>
  </si>
  <si>
    <t>Stabilność kalibracji</t>
  </si>
  <si>
    <t>Ilość testów na  jedna kalibrację</t>
  </si>
  <si>
    <t>Sample Pickup (ul)</t>
  </si>
  <si>
    <t>Ilość testów na kalibracje/rok</t>
  </si>
  <si>
    <t>Objętość na rok (ml)</t>
  </si>
  <si>
    <t>ilość opakowań kalibratora/rok</t>
  </si>
  <si>
    <t>amh</t>
  </si>
  <si>
    <t>6 @ 1 x 2 mL</t>
  </si>
  <si>
    <t>kortyzol</t>
  </si>
  <si>
    <t>6 @ 1 x 4 mL</t>
  </si>
  <si>
    <t>IgE</t>
  </si>
  <si>
    <t>S0 @ 1 x 6 mL          S1 - S6 @ 1 x 4 mL</t>
  </si>
  <si>
    <t>Erytropoetyna</t>
  </si>
  <si>
    <t>S0 @ 1 x 10 mL    S1-S5 @ 1 x 2.5 mL</t>
  </si>
  <si>
    <t>stab kalibratora</t>
  </si>
  <si>
    <t>do daty ważn</t>
  </si>
  <si>
    <t>kwas foliowy</t>
  </si>
  <si>
    <t>Czynnik wewnętrzny</t>
  </si>
  <si>
    <t>Pakiet nr 5 -Odczynniki do immunodiagnostyki wraz z dzierżawą analizatora</t>
  </si>
  <si>
    <t>odczynnik</t>
  </si>
  <si>
    <t>kalibracja</t>
  </si>
  <si>
    <t>ilość badań</t>
  </si>
  <si>
    <t>Ilość</t>
  </si>
  <si>
    <t>kontrole</t>
  </si>
  <si>
    <t>liczba ozn/rok</t>
  </si>
  <si>
    <t>stabilność na pokładzie</t>
  </si>
  <si>
    <t>liczba op wg stabilności</t>
  </si>
  <si>
    <t>Antygen HBS</t>
  </si>
  <si>
    <t>Beckman Coulter</t>
  </si>
  <si>
    <t>Access HBS AG QC Kit</t>
  </si>
  <si>
    <t>364 Speciality IA Liq. 1</t>
  </si>
  <si>
    <t>BNP</t>
  </si>
  <si>
    <t>Alere*</t>
  </si>
  <si>
    <t>Triage BNP Controls</t>
  </si>
  <si>
    <t>Liquichek Cardiac Markers Plus LT Control, Level 1 (6 x 3 mLs)</t>
  </si>
  <si>
    <t>f PSA</t>
  </si>
  <si>
    <t>Liquicheck Immunoassay Plus, Level 1</t>
  </si>
  <si>
    <t>f T3</t>
  </si>
  <si>
    <t>f T4</t>
  </si>
  <si>
    <t>Kortyzol</t>
  </si>
  <si>
    <t>Przeciwciała HCV</t>
  </si>
  <si>
    <t>HCV AB QC</t>
  </si>
  <si>
    <t>t PSA</t>
  </si>
  <si>
    <t>TSH III GENERACJI</t>
  </si>
  <si>
    <t>B63284</t>
  </si>
  <si>
    <t>t T3</t>
  </si>
  <si>
    <t>tt3</t>
  </si>
  <si>
    <t>t T4</t>
  </si>
  <si>
    <t>Estradiol</t>
  </si>
  <si>
    <t>FSH</t>
  </si>
  <si>
    <t>LH</t>
  </si>
  <si>
    <t>Progesteron</t>
  </si>
  <si>
    <t>Prolactin</t>
  </si>
  <si>
    <t>Testosteron</t>
  </si>
  <si>
    <t>Troponina I</t>
  </si>
  <si>
    <t>Test potwierdzenia Hbs</t>
  </si>
  <si>
    <t>Access HBs Ag Confirmatory QC Kit</t>
  </si>
  <si>
    <t>objętość uL na 1 poziom/1 kontrolę</t>
  </si>
  <si>
    <t>HBs Conf</t>
  </si>
  <si>
    <t>2 x 110 ul</t>
  </si>
  <si>
    <t>220 ul</t>
  </si>
  <si>
    <t>kontrola:</t>
  </si>
  <si>
    <t>12 ml jednego poziomu</t>
  </si>
  <si>
    <t>110 ul</t>
  </si>
  <si>
    <t>Dzierżawa</t>
  </si>
  <si>
    <t>36 miesięcy</t>
  </si>
  <si>
    <t>rok</t>
  </si>
  <si>
    <t>objętość na 1 rok w uL</t>
  </si>
  <si>
    <t>0,22 ml</t>
  </si>
  <si>
    <t>zużycie kontroli 1 poziomu</t>
  </si>
  <si>
    <t>0,11 ml</t>
  </si>
  <si>
    <t>Materiały zużywalne, kalibratory, kontrole i wszystkie inne materiały niezbędne do wykkonania wyżej wymienionej ilości w czsie trwania umowy</t>
  </si>
  <si>
    <t>3 lata</t>
  </si>
  <si>
    <t>ml na 1 rok na 1 poziom</t>
  </si>
  <si>
    <t>ml kontroli na 1 poziom</t>
  </si>
  <si>
    <t>Materiały zużywalne, kalibratory, kontrole</t>
  </si>
  <si>
    <t>12 x 5 ml = 60 ml - 1 opak</t>
  </si>
  <si>
    <t>opak 1 poziomu na 1 rok</t>
  </si>
  <si>
    <t>na 3 lata</t>
  </si>
  <si>
    <t>ACCESS WASTE BAGS 20/BOX</t>
  </si>
  <si>
    <t>81904</t>
  </si>
  <si>
    <t>wychodzi 3,18 opak/rok na 1 poziom</t>
  </si>
  <si>
    <t>ACCESS SUBSTRATE 4 X 130ML</t>
  </si>
  <si>
    <t>81906</t>
  </si>
  <si>
    <t>ACCESS Wash Buffer II, 4 x 1950 mL</t>
  </si>
  <si>
    <t>ACCESS SAMPLE DILUENT A, 1 X 4ML</t>
  </si>
  <si>
    <t>81908</t>
  </si>
  <si>
    <t>ACCESS SYSTEM CHECK SOLN, 6 X 4M</t>
  </si>
  <si>
    <t>81910</t>
  </si>
  <si>
    <t>ACCESS REACTION VESSELS 16X98</t>
  </si>
  <si>
    <t>81901</t>
  </si>
  <si>
    <t>ACCESS SAMPLE CUPS 1000X2ML</t>
  </si>
  <si>
    <t>81902</t>
  </si>
  <si>
    <t>SAMPLE CUPS 0.5 ML</t>
  </si>
  <si>
    <t>BRUSH, DISP. ASPIRATE 10/PKG</t>
  </si>
  <si>
    <t>CONTRAD 70, 1 X 1 LITER</t>
  </si>
  <si>
    <t>CITRANOX, 1 X 1 GALLON</t>
  </si>
  <si>
    <t>HCV AB CALIBRATORS</t>
  </si>
  <si>
    <t>Triage BNP Calibrators</t>
  </si>
  <si>
    <t>ACCESS HTSH CALIBRATORS</t>
  </si>
  <si>
    <t>ACCESS TOTAL T4 CALS</t>
  </si>
  <si>
    <t>ACCESS TOTAL T3 CALS S0-S5</t>
  </si>
  <si>
    <t>kalkulator: 3/rok;  katalog: 2/rok</t>
  </si>
  <si>
    <t>ACCESS FREE T4 CALS 50-55</t>
  </si>
  <si>
    <t>ACCESS FT3 CALS S0-S5</t>
  </si>
  <si>
    <t>Access Thyroglobulin Antibody II Calibrators</t>
  </si>
  <si>
    <t>ACCESS TPOAb CAL Kit S0-55</t>
  </si>
  <si>
    <t>ACCESS LH CALIBRATOR</t>
  </si>
  <si>
    <t>ACCESS FSH CALIBRATORS</t>
  </si>
  <si>
    <t>ACCESS ESTRADIOL CAL S0-S5</t>
  </si>
  <si>
    <t>TBhCG Calibrators S0-S5</t>
  </si>
  <si>
    <t>ACCESS PROLACTN CALS</t>
  </si>
  <si>
    <t>ACCESS TESTOSTERONE CAL, S0-S5</t>
  </si>
  <si>
    <t>ACCESS PROGESTERONE CAL</t>
  </si>
  <si>
    <t>ACCESS HYBRITECH PSA CAL KIT</t>
  </si>
  <si>
    <t>ACCESS HYBRITECH FREE PSA CAL KIT</t>
  </si>
  <si>
    <t>ACCESS CORTISOL CALS S0-S5</t>
  </si>
  <si>
    <t>AccuTnI+3 for use on Access Cals S0-S5</t>
  </si>
  <si>
    <t>Access HBS AG Calibrator Kit</t>
  </si>
  <si>
    <t>Access  Vitamin B12 Calibrator Kit</t>
  </si>
  <si>
    <t>Access HBs Ag Confirmatory Calibrator Kit</t>
  </si>
  <si>
    <t>A49928/361</t>
  </si>
  <si>
    <t>Bio-Rad</t>
  </si>
  <si>
    <t>Liquicheck Immunoassay Plus, Level 3</t>
  </si>
  <si>
    <t>A49930/363</t>
  </si>
  <si>
    <t>A32415/364</t>
  </si>
  <si>
    <t>366 Speciality IA Liq. 3</t>
  </si>
  <si>
    <t>A32505/366</t>
  </si>
  <si>
    <t>A56557/146</t>
  </si>
  <si>
    <t>Czy ta kontrola jest potrzebna? Jest już Triage BNP</t>
  </si>
  <si>
    <t>Liquichek Cardiac Markers Plus LT Control, Level 3 (6x 3 mLs)</t>
  </si>
  <si>
    <t>A83593/148</t>
  </si>
  <si>
    <t>* Oferta partnera konsorcjum firmy Werfen</t>
  </si>
  <si>
    <t>Formularz asortymentowo-cenowy</t>
  </si>
  <si>
    <t xml:space="preserve">Dokument należy podpisać kwalifikowanym podpisem </t>
  </si>
  <si>
    <t>data i podpis</t>
  </si>
  <si>
    <t>…...................................................</t>
  </si>
  <si>
    <t>elektronicznym lub podpisem zaufanym lub podpisem osobistym</t>
  </si>
  <si>
    <t>Jm</t>
  </si>
  <si>
    <t>stawka netto za 1 m-c</t>
  </si>
  <si>
    <t>stawka brutto za 1 m-c</t>
  </si>
  <si>
    <t>m-c</t>
  </si>
  <si>
    <t>netto</t>
  </si>
  <si>
    <t>brutto</t>
  </si>
  <si>
    <t>Nazwa i typ analizatora</t>
  </si>
  <si>
    <t>Koszt dzierżawy analizatora - 1 sztuka</t>
  </si>
  <si>
    <t>ODCZYNNIKI</t>
  </si>
  <si>
    <t>RAZEM (odczynniki, kalibratory, kontrole, materiały zużywalne wraz z dzierżawą analizatora)</t>
  </si>
  <si>
    <t>Suma (odczynniki, kalibratory, kontrole, materiały zużywalne)</t>
  </si>
  <si>
    <t>Kalibratory - zgodnie z zapotrzebowaniem do w.w. ilości badań</t>
  </si>
  <si>
    <t>Materiały zużywalne - zgodnie z zapotrzebowaniem do w.w. ilości badań</t>
  </si>
  <si>
    <t>Kontrole - zgodnie z zapotrzebowaniem do w.w. ilości badań</t>
  </si>
  <si>
    <t>Analizator do badań immunochemicznych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</si>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</sst>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-415]General"/>
    <numFmt numFmtId="165" formatCode="[$-415]0"/>
    <numFmt numFmtId="166" formatCode="&quot; $&quot;#,##0.00&quot; &quot;;&quot; $(&quot;#,##0.00&quot;)&quot;;&quot; $-&quot;#&quot; &quot;;@&quot; &quot;"/>
    <numFmt numFmtId="167" formatCode="[$-415]0%"/>
    <numFmt numFmtId="168" formatCode="&quot; &quot;[$INR]&quot; &quot;#,##0.00&quot; &quot;;&quot; &quot;[$INR]&quot; (&quot;#,##0.00&quot;)&quot;;&quot; &quot;[$INR]&quot; -&quot;#&quot; &quot;;@&quot; &quot;"/>
    <numFmt numFmtId="169" formatCode="#,##0.00&quot; zł&quot;"/>
    <numFmt numFmtId="170" formatCode="[$-415]0.00"/>
    <numFmt numFmtId="171" formatCode="0.0"/>
    <numFmt numFmtId="172" formatCode="[$-415]#,##0"/>
    <numFmt numFmtId="173" formatCode="&quot; £&quot;#,##0.00&quot; &quot;;&quot;-£&quot;#,##0.00&quot; &quot;;&quot; £-&quot;#&quot; &quot;;@&quot; &quot;"/>
    <numFmt numFmtId="174" formatCode="&quot; &quot;#,##0.00&quot; &quot;;&quot; (&quot;#,##0.00&quot;)&quot;;&quot; -&quot;#&quot; &quot;;@&quot; &quot;"/>
    <numFmt numFmtId="175" formatCode="#,##0.00&quot; &quot;[$zł-415];[Red]&quot;-&quot;#,##0.00&quot; &quot;[$zł-415]"/>
  </numFmts>
  <fonts count="29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003366"/>
      <name val="Arial"/>
      <family val="2"/>
      <charset val="238"/>
    </font>
    <font>
      <b/>
      <sz val="11"/>
      <color rgb="FF003366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00808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DFDFE0"/>
      </patternFill>
    </fill>
    <fill>
      <patternFill patternType="solid">
        <fgColor rgb="FFEFEFF0"/>
        <bgColor rgb="FFEFEFF0"/>
      </patternFill>
    </fill>
    <fill>
      <patternFill patternType="solid">
        <fgColor rgb="FFCCFFCC"/>
        <bgColor rgb="FFCCFFCC"/>
      </patternFill>
    </fill>
    <fill>
      <patternFill patternType="solid">
        <fgColor rgb="FF8EB4E3"/>
        <bgColor rgb="FF8EB4E3"/>
      </patternFill>
    </fill>
    <fill>
      <patternFill patternType="solid">
        <fgColor rgb="FFFFFFCC"/>
        <bgColor rgb="FFFFFFCC"/>
      </patternFill>
    </fill>
    <fill>
      <patternFill patternType="solid">
        <fgColor rgb="FFD7E4BD"/>
        <bgColor rgb="FFD7E4BD"/>
      </patternFill>
    </fill>
    <fill>
      <patternFill patternType="solid">
        <fgColor rgb="FFEBF1DE"/>
        <bgColor rgb="FFEBF1DE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0C0C0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2" borderId="0"/>
    <xf numFmtId="173" fontId="1" fillId="0" borderId="0"/>
    <xf numFmtId="166" fontId="1" fillId="0" borderId="0"/>
    <xf numFmtId="17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0" fontId="3" fillId="0" borderId="0"/>
    <xf numFmtId="167" fontId="1" fillId="0" borderId="0"/>
    <xf numFmtId="0" fontId="6" fillId="0" borderId="0"/>
    <xf numFmtId="175" fontId="6" fillId="0" borderId="0"/>
  </cellStyleXfs>
  <cellXfs count="4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169" fontId="3" fillId="4" borderId="1" xfId="0" applyNumberFormat="1" applyFont="1" applyFill="1" applyBorder="1" applyAlignment="1">
      <alignment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169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69" fontId="3" fillId="4" borderId="1" xfId="7" applyNumberForma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49" fontId="3" fillId="4" borderId="1" xfId="10" applyNumberFormat="1" applyFont="1" applyFill="1" applyBorder="1" applyAlignment="1">
      <alignment horizontal="center" vertical="center"/>
    </xf>
    <xf numFmtId="164" fontId="3" fillId="4" borderId="1" xfId="1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9" fillId="0" borderId="3" xfId="0" applyNumberFormat="1" applyFont="1" applyBorder="1" applyAlignment="1" applyProtection="1">
      <alignment horizontal="center"/>
      <protection hidden="1"/>
    </xf>
    <xf numFmtId="164" fontId="10" fillId="0" borderId="4" xfId="0" applyNumberFormat="1" applyFont="1" applyBorder="1" applyAlignment="1" applyProtection="1">
      <alignment horizontal="left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166" fontId="9" fillId="0" borderId="4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9" fillId="0" borderId="1" xfId="0" applyNumberFormat="1" applyFont="1" applyBorder="1" applyAlignment="1" applyProtection="1">
      <alignment horizontal="left"/>
      <protection hidden="1"/>
    </xf>
    <xf numFmtId="164" fontId="9" fillId="0" borderId="1" xfId="0" applyNumberFormat="1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166" fontId="9" fillId="0" borderId="1" xfId="0" applyNumberFormat="1" applyFont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164" fontId="0" fillId="0" borderId="6" xfId="0" applyNumberForma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4" fillId="0" borderId="6" xfId="0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6" fontId="0" fillId="0" borderId="6" xfId="0" applyNumberFormat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164" fontId="9" fillId="5" borderId="1" xfId="0" applyNumberFormat="1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hidden="1"/>
    </xf>
    <xf numFmtId="166" fontId="0" fillId="4" borderId="1" xfId="2" applyNumberFormat="1" applyFont="1" applyFill="1" applyBorder="1" applyAlignment="1" applyProtection="1">
      <alignment horizontal="right"/>
      <protection hidden="1"/>
    </xf>
    <xf numFmtId="166" fontId="0" fillId="4" borderId="1" xfId="0" applyNumberFormat="1" applyFill="1" applyBorder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hidden="1"/>
    </xf>
    <xf numFmtId="170" fontId="0" fillId="0" borderId="0" xfId="0" applyNumberFormat="1" applyAlignment="1" applyProtection="1">
      <alignment horizontal="right"/>
      <protection hidden="1"/>
    </xf>
    <xf numFmtId="164" fontId="9" fillId="5" borderId="1" xfId="0" applyNumberFormat="1" applyFont="1" applyFill="1" applyBorder="1" applyAlignment="1" applyProtection="1">
      <alignment horizontal="left"/>
      <protection hidden="1"/>
    </xf>
    <xf numFmtId="164" fontId="9" fillId="5" borderId="1" xfId="0" applyNumberFormat="1" applyFont="1" applyFill="1" applyBorder="1" applyProtection="1">
      <protection hidden="1"/>
    </xf>
    <xf numFmtId="164" fontId="9" fillId="5" borderId="2" xfId="0" applyNumberFormat="1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horizontal="right" vertical="center"/>
      <protection hidden="1"/>
    </xf>
    <xf numFmtId="166" fontId="0" fillId="4" borderId="2" xfId="0" applyNumberFormat="1" applyFill="1" applyBorder="1" applyAlignment="1" applyProtection="1">
      <alignment horizontal="right" vertical="center"/>
      <protection hidden="1"/>
    </xf>
    <xf numFmtId="164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hidden="1"/>
    </xf>
    <xf numFmtId="170" fontId="0" fillId="0" borderId="0" xfId="0" applyNumberForma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164" fontId="9" fillId="5" borderId="2" xfId="0" applyNumberFormat="1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hidden="1"/>
    </xf>
    <xf numFmtId="166" fontId="0" fillId="4" borderId="2" xfId="0" applyNumberFormat="1" applyFill="1" applyBorder="1" applyAlignment="1" applyProtection="1">
      <alignment horizontal="right"/>
      <protection hidden="1"/>
    </xf>
    <xf numFmtId="164" fontId="9" fillId="5" borderId="7" xfId="0" applyNumberFormat="1" applyFont="1" applyFill="1" applyBorder="1" applyAlignment="1" applyProtection="1">
      <alignment horizontal="left"/>
      <protection hidden="1"/>
    </xf>
    <xf numFmtId="0" fontId="0" fillId="4" borderId="7" xfId="0" applyFill="1" applyBorder="1" applyAlignment="1" applyProtection="1">
      <alignment horizontal="right"/>
      <protection hidden="1"/>
    </xf>
    <xf numFmtId="0" fontId="0" fillId="4" borderId="3" xfId="0" applyFill="1" applyBorder="1" applyAlignment="1" applyProtection="1">
      <alignment horizontal="right"/>
      <protection hidden="1"/>
    </xf>
    <xf numFmtId="164" fontId="9" fillId="5" borderId="3" xfId="0" applyNumberFormat="1" applyFont="1" applyFill="1" applyBorder="1" applyProtection="1">
      <protection hidden="1"/>
    </xf>
    <xf numFmtId="0" fontId="0" fillId="4" borderId="7" xfId="0" applyFill="1" applyBorder="1" applyAlignment="1" applyProtection="1">
      <alignment horizontal="right"/>
      <protection locked="0"/>
    </xf>
    <xf numFmtId="164" fontId="13" fillId="5" borderId="1" xfId="0" applyNumberFormat="1" applyFont="1" applyFill="1" applyBorder="1" applyProtection="1">
      <protection hidden="1"/>
    </xf>
    <xf numFmtId="0" fontId="13" fillId="6" borderId="1" xfId="0" applyFont="1" applyFill="1" applyBorder="1" applyAlignment="1" applyProtection="1">
      <alignment horizontal="right"/>
      <protection locked="0"/>
    </xf>
    <xf numFmtId="0" fontId="13" fillId="6" borderId="1" xfId="0" applyFont="1" applyFill="1" applyBorder="1" applyAlignment="1" applyProtection="1">
      <alignment horizontal="right"/>
      <protection hidden="1"/>
    </xf>
    <xf numFmtId="166" fontId="13" fillId="6" borderId="1" xfId="0" applyNumberFormat="1" applyFont="1" applyFill="1" applyBorder="1" applyAlignment="1" applyProtection="1">
      <alignment horizontal="right"/>
      <protection hidden="1"/>
    </xf>
    <xf numFmtId="164" fontId="9" fillId="5" borderId="2" xfId="0" applyNumberFormat="1" applyFont="1" applyFill="1" applyBorder="1" applyAlignment="1" applyProtection="1">
      <alignment horizontal="left"/>
      <protection hidden="1"/>
    </xf>
    <xf numFmtId="164" fontId="9" fillId="5" borderId="2" xfId="0" applyNumberFormat="1" applyFont="1" applyFill="1" applyBorder="1" applyProtection="1">
      <protection hidden="1"/>
    </xf>
    <xf numFmtId="164" fontId="13" fillId="5" borderId="7" xfId="0" applyNumberFormat="1" applyFont="1" applyFill="1" applyBorder="1" applyAlignment="1" applyProtection="1">
      <alignment horizontal="left"/>
      <protection hidden="1"/>
    </xf>
    <xf numFmtId="0" fontId="13" fillId="4" borderId="1" xfId="0" applyFont="1" applyFill="1" applyBorder="1" applyAlignment="1" applyProtection="1">
      <alignment horizontal="right"/>
      <protection locked="0"/>
    </xf>
    <xf numFmtId="0" fontId="13" fillId="4" borderId="7" xfId="0" applyFont="1" applyFill="1" applyBorder="1" applyAlignment="1" applyProtection="1">
      <alignment horizontal="right"/>
      <protection locked="0"/>
    </xf>
    <xf numFmtId="0" fontId="13" fillId="4" borderId="7" xfId="0" applyFont="1" applyFill="1" applyBorder="1" applyAlignment="1" applyProtection="1">
      <alignment horizontal="right"/>
      <protection hidden="1"/>
    </xf>
    <xf numFmtId="166" fontId="13" fillId="4" borderId="1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textRotation="45"/>
      <protection hidden="1"/>
    </xf>
    <xf numFmtId="164" fontId="9" fillId="5" borderId="2" xfId="0" applyNumberFormat="1" applyFont="1" applyFill="1" applyBorder="1" applyAlignment="1" applyProtection="1">
      <alignment horizontal="left" vertical="center"/>
      <protection hidden="1"/>
    </xf>
    <xf numFmtId="164" fontId="9" fillId="5" borderId="8" xfId="0" applyNumberFormat="1" applyFont="1" applyFill="1" applyBorder="1" applyAlignment="1" applyProtection="1">
      <alignment horizontal="left"/>
      <protection hidden="1"/>
    </xf>
    <xf numFmtId="0" fontId="0" fillId="4" borderId="8" xfId="0" applyFill="1" applyBorder="1" applyAlignment="1" applyProtection="1">
      <alignment horizontal="right"/>
      <protection hidden="1"/>
    </xf>
    <xf numFmtId="0" fontId="0" fillId="4" borderId="9" xfId="0" applyFill="1" applyBorder="1" applyAlignment="1" applyProtection="1">
      <alignment horizontal="right"/>
      <protection hidden="1"/>
    </xf>
    <xf numFmtId="0" fontId="0" fillId="4" borderId="9" xfId="0" applyFill="1" applyBorder="1" applyAlignment="1" applyProtection="1">
      <alignment horizontal="right"/>
      <protection locked="0"/>
    </xf>
    <xf numFmtId="0" fontId="0" fillId="4" borderId="10" xfId="0" applyFill="1" applyBorder="1" applyAlignment="1" applyProtection="1">
      <alignment horizontal="right"/>
      <protection hidden="1"/>
    </xf>
    <xf numFmtId="0" fontId="0" fillId="4" borderId="10" xfId="0" applyFill="1" applyBorder="1" applyAlignment="1" applyProtection="1">
      <alignment horizontal="right"/>
      <protection locked="0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7" fontId="9" fillId="5" borderId="2" xfId="12" applyFont="1" applyFill="1" applyBorder="1"/>
    <xf numFmtId="167" fontId="9" fillId="5" borderId="1" xfId="12" applyFont="1" applyFill="1" applyBorder="1"/>
    <xf numFmtId="164" fontId="9" fillId="5" borderId="11" xfId="0" applyNumberFormat="1" applyFont="1" applyFill="1" applyBorder="1" applyAlignment="1" applyProtection="1">
      <alignment horizontal="left"/>
      <protection hidden="1"/>
    </xf>
    <xf numFmtId="164" fontId="9" fillId="5" borderId="11" xfId="0" applyNumberFormat="1" applyFont="1" applyFill="1" applyBorder="1" applyProtection="1">
      <protection hidden="1"/>
    </xf>
    <xf numFmtId="0" fontId="0" fillId="4" borderId="11" xfId="0" applyFill="1" applyBorder="1" applyAlignment="1" applyProtection="1">
      <alignment horizontal="right"/>
      <protection locked="0"/>
    </xf>
    <xf numFmtId="166" fontId="0" fillId="4" borderId="11" xfId="0" applyNumberFormat="1" applyFill="1" applyBorder="1" applyAlignment="1" applyProtection="1">
      <alignment horizontal="right"/>
      <protection locked="0"/>
    </xf>
    <xf numFmtId="164" fontId="18" fillId="5" borderId="7" xfId="0" applyNumberFormat="1" applyFont="1" applyFill="1" applyBorder="1" applyAlignment="1" applyProtection="1">
      <alignment horizontal="left"/>
      <protection hidden="1"/>
    </xf>
    <xf numFmtId="0" fontId="18" fillId="4" borderId="1" xfId="0" applyFont="1" applyFill="1" applyBorder="1" applyAlignment="1" applyProtection="1">
      <alignment horizontal="right"/>
      <protection locked="0"/>
    </xf>
    <xf numFmtId="0" fontId="18" fillId="4" borderId="1" xfId="0" applyFont="1" applyFill="1" applyBorder="1" applyAlignment="1" applyProtection="1">
      <alignment horizontal="right"/>
      <protection hidden="1"/>
    </xf>
    <xf numFmtId="166" fontId="18" fillId="4" borderId="1" xfId="0" applyNumberFormat="1" applyFont="1" applyFill="1" applyBorder="1" applyAlignment="1" applyProtection="1">
      <alignment horizontal="right"/>
      <protection hidden="1"/>
    </xf>
    <xf numFmtId="166" fontId="18" fillId="4" borderId="1" xfId="0" applyNumberFormat="1" applyFont="1" applyFill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/>
      <protection hidden="1"/>
    </xf>
    <xf numFmtId="166" fontId="18" fillId="0" borderId="1" xfId="0" applyNumberFormat="1" applyFont="1" applyBorder="1" applyAlignment="1" applyProtection="1">
      <alignment horizontal="right"/>
      <protection hidden="1"/>
    </xf>
    <xf numFmtId="166" fontId="18" fillId="0" borderId="1" xfId="0" applyNumberFormat="1" applyFont="1" applyBorder="1" applyAlignment="1" applyProtection="1">
      <alignment horizontal="center"/>
      <protection hidden="1"/>
    </xf>
    <xf numFmtId="164" fontId="11" fillId="0" borderId="7" xfId="0" applyNumberFormat="1" applyFont="1" applyBorder="1" applyProtection="1">
      <protection hidden="1"/>
    </xf>
    <xf numFmtId="165" fontId="0" fillId="0" borderId="7" xfId="0" applyNumberFormat="1" applyBorder="1" applyAlignment="1" applyProtection="1">
      <alignment horizontal="right"/>
      <protection hidden="1"/>
    </xf>
    <xf numFmtId="0" fontId="0" fillId="0" borderId="8" xfId="0" applyBorder="1" applyAlignment="1" applyProtection="1">
      <alignment horizontal="right"/>
      <protection hidden="1"/>
    </xf>
    <xf numFmtId="0" fontId="0" fillId="3" borderId="8" xfId="0" applyFill="1" applyBorder="1" applyAlignment="1" applyProtection="1">
      <alignment horizontal="right"/>
      <protection hidden="1"/>
    </xf>
    <xf numFmtId="166" fontId="0" fillId="3" borderId="8" xfId="0" applyNumberFormat="1" applyFill="1" applyBorder="1" applyAlignment="1" applyProtection="1">
      <alignment horizontal="right"/>
      <protection hidden="1"/>
    </xf>
    <xf numFmtId="166" fontId="0" fillId="3" borderId="7" xfId="0" applyNumberFormat="1" applyFill="1" applyBorder="1" applyAlignment="1" applyProtection="1">
      <alignment horizontal="right"/>
      <protection hidden="1"/>
    </xf>
    <xf numFmtId="164" fontId="11" fillId="0" borderId="1" xfId="0" applyNumberFormat="1" applyFont="1" applyBorder="1" applyProtection="1">
      <protection hidden="1"/>
    </xf>
    <xf numFmtId="0" fontId="9" fillId="7" borderId="1" xfId="0" applyFont="1" applyFill="1" applyBorder="1" applyAlignment="1" applyProtection="1">
      <alignment horizontal="left"/>
      <protection hidden="1"/>
    </xf>
    <xf numFmtId="0" fontId="0" fillId="7" borderId="1" xfId="0" applyFill="1" applyBorder="1" applyAlignment="1" applyProtection="1">
      <alignment horizontal="left"/>
      <protection hidden="1"/>
    </xf>
    <xf numFmtId="0" fontId="0" fillId="7" borderId="1" xfId="0" applyFill="1" applyBorder="1" applyAlignment="1" applyProtection="1">
      <alignment horizontal="right"/>
      <protection hidden="1"/>
    </xf>
    <xf numFmtId="0" fontId="11" fillId="8" borderId="1" xfId="0" applyFont="1" applyFill="1" applyBorder="1" applyAlignment="1" applyProtection="1">
      <alignment horizontal="right"/>
      <protection hidden="1"/>
    </xf>
    <xf numFmtId="0" fontId="9" fillId="7" borderId="1" xfId="0" applyFont="1" applyFill="1" applyBorder="1" applyAlignment="1" applyProtection="1">
      <alignment horizontal="right"/>
      <protection hidden="1"/>
    </xf>
    <xf numFmtId="166" fontId="0" fillId="7" borderId="1" xfId="0" applyNumberFormat="1" applyFill="1" applyBorder="1" applyAlignment="1" applyProtection="1">
      <alignment horizontal="right"/>
      <protection hidden="1"/>
    </xf>
    <xf numFmtId="166" fontId="11" fillId="4" borderId="1" xfId="0" applyNumberFormat="1" applyFont="1" applyFill="1" applyBorder="1" applyAlignment="1" applyProtection="1">
      <alignment horizontal="right"/>
      <protection hidden="1"/>
    </xf>
    <xf numFmtId="164" fontId="9" fillId="4" borderId="12" xfId="0" applyNumberFormat="1" applyFont="1" applyFill="1" applyBorder="1" applyAlignment="1" applyProtection="1">
      <alignment horizontal="center"/>
      <protection hidden="1"/>
    </xf>
    <xf numFmtId="164" fontId="10" fillId="0" borderId="13" xfId="0" applyNumberFormat="1" applyFont="1" applyBorder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right"/>
      <protection hidden="1"/>
    </xf>
    <xf numFmtId="0" fontId="11" fillId="4" borderId="0" xfId="0" applyFont="1" applyFill="1" applyAlignment="1" applyProtection="1">
      <alignment horizontal="right"/>
      <protection hidden="1"/>
    </xf>
    <xf numFmtId="0" fontId="9" fillId="4" borderId="0" xfId="0" applyFont="1" applyFill="1" applyAlignment="1" applyProtection="1">
      <alignment horizontal="right"/>
      <protection hidden="1"/>
    </xf>
    <xf numFmtId="166" fontId="0" fillId="4" borderId="0" xfId="0" applyNumberFormat="1" applyFill="1" applyAlignment="1" applyProtection="1">
      <alignment horizontal="right"/>
      <protection hidden="1"/>
    </xf>
    <xf numFmtId="166" fontId="11" fillId="4" borderId="14" xfId="0" applyNumberFormat="1" applyFont="1" applyFill="1" applyBorder="1" applyAlignment="1" applyProtection="1">
      <alignment horizontal="right"/>
      <protection hidden="1"/>
    </xf>
    <xf numFmtId="164" fontId="9" fillId="9" borderId="1" xfId="0" applyNumberFormat="1" applyFont="1" applyFill="1" applyBorder="1" applyAlignment="1" applyProtection="1">
      <alignment horizontal="left"/>
      <protection hidden="1"/>
    </xf>
    <xf numFmtId="0" fontId="0" fillId="9" borderId="1" xfId="0" applyFill="1" applyBorder="1" applyAlignment="1" applyProtection="1">
      <alignment horizontal="left"/>
      <protection hidden="1"/>
    </xf>
    <xf numFmtId="0" fontId="0" fillId="9" borderId="1" xfId="0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hidden="1"/>
    </xf>
    <xf numFmtId="166" fontId="0" fillId="0" borderId="9" xfId="0" applyNumberFormat="1" applyBorder="1" applyAlignment="1" applyProtection="1">
      <alignment horizontal="right"/>
      <protection hidden="1"/>
    </xf>
    <xf numFmtId="166" fontId="0" fillId="0" borderId="1" xfId="0" applyNumberFormat="1" applyBorder="1" applyAlignment="1" applyProtection="1">
      <alignment horizontal="right"/>
      <protection locked="0"/>
    </xf>
    <xf numFmtId="0" fontId="0" fillId="9" borderId="8" xfId="0" applyFill="1" applyBorder="1" applyAlignment="1" applyProtection="1">
      <alignment horizontal="right"/>
      <protection hidden="1"/>
    </xf>
    <xf numFmtId="166" fontId="0" fillId="4" borderId="9" xfId="0" applyNumberFormat="1" applyFill="1" applyBorder="1" applyAlignment="1" applyProtection="1">
      <alignment horizontal="right"/>
      <protection hidden="1"/>
    </xf>
    <xf numFmtId="166" fontId="0" fillId="4" borderId="1" xfId="0" applyNumberFormat="1" applyFill="1" applyBorder="1" applyAlignment="1" applyProtection="1">
      <alignment horizontal="right"/>
      <protection locked="0"/>
    </xf>
    <xf numFmtId="0" fontId="0" fillId="4" borderId="0" xfId="0" applyFill="1" applyProtection="1">
      <protection hidden="1"/>
    </xf>
    <xf numFmtId="0" fontId="0" fillId="9" borderId="7" xfId="0" applyFill="1" applyBorder="1" applyAlignment="1" applyProtection="1">
      <alignment horizontal="right"/>
      <protection hidden="1"/>
    </xf>
    <xf numFmtId="164" fontId="9" fillId="9" borderId="7" xfId="0" applyNumberFormat="1" applyFont="1" applyFill="1" applyBorder="1" applyAlignment="1" applyProtection="1">
      <alignment horizontal="left"/>
      <protection hidden="1"/>
    </xf>
    <xf numFmtId="0" fontId="0" fillId="9" borderId="7" xfId="0" applyFill="1" applyBorder="1" applyAlignment="1" applyProtection="1">
      <alignment horizontal="left"/>
      <protection hidden="1"/>
    </xf>
    <xf numFmtId="0" fontId="0" fillId="9" borderId="3" xfId="0" applyFill="1" applyBorder="1" applyAlignment="1" applyProtection="1">
      <alignment horizontal="right"/>
      <protection hidden="1"/>
    </xf>
    <xf numFmtId="0" fontId="0" fillId="0" borderId="7" xfId="0" applyBorder="1" applyAlignment="1" applyProtection="1">
      <alignment horizontal="right"/>
      <protection hidden="1"/>
    </xf>
    <xf numFmtId="164" fontId="9" fillId="9" borderId="8" xfId="0" applyNumberFormat="1" applyFont="1" applyFill="1" applyBorder="1" applyAlignment="1" applyProtection="1">
      <alignment horizontal="left"/>
      <protection hidden="1"/>
    </xf>
    <xf numFmtId="164" fontId="9" fillId="9" borderId="2" xfId="0" applyNumberFormat="1" applyFont="1" applyFill="1" applyBorder="1" applyAlignment="1" applyProtection="1">
      <alignment horizontal="left"/>
      <protection hidden="1"/>
    </xf>
    <xf numFmtId="0" fontId="0" fillId="9" borderId="2" xfId="0" applyFill="1" applyBorder="1" applyAlignment="1" applyProtection="1">
      <alignment horizontal="left"/>
      <protection hidden="1"/>
    </xf>
    <xf numFmtId="0" fontId="19" fillId="9" borderId="2" xfId="0" applyFont="1" applyFill="1" applyBorder="1" applyAlignment="1" applyProtection="1">
      <alignment horizontal="left"/>
      <protection hidden="1"/>
    </xf>
    <xf numFmtId="0" fontId="0" fillId="9" borderId="2" xfId="0" applyFill="1" applyBorder="1" applyAlignment="1" applyProtection="1">
      <alignment horizontal="right"/>
      <protection hidden="1"/>
    </xf>
    <xf numFmtId="0" fontId="19" fillId="9" borderId="1" xfId="0" applyFont="1" applyFill="1" applyBorder="1" applyAlignment="1" applyProtection="1">
      <alignment horizontal="left"/>
      <protection hidden="1"/>
    </xf>
    <xf numFmtId="170" fontId="0" fillId="0" borderId="3" xfId="0" applyNumberFormat="1" applyBorder="1" applyAlignment="1" applyProtection="1">
      <alignment horizontal="right"/>
      <protection locked="0"/>
    </xf>
    <xf numFmtId="166" fontId="0" fillId="0" borderId="1" xfId="0" applyNumberFormat="1" applyBorder="1" applyAlignment="1" applyProtection="1">
      <alignment horizontal="right"/>
      <protection hidden="1"/>
    </xf>
    <xf numFmtId="166" fontId="0" fillId="0" borderId="2" xfId="0" applyNumberFormat="1" applyBorder="1" applyAlignment="1" applyProtection="1">
      <alignment horizontal="right"/>
      <protection locked="0"/>
    </xf>
    <xf numFmtId="166" fontId="0" fillId="0" borderId="7" xfId="0" applyNumberFormat="1" applyBorder="1" applyAlignment="1" applyProtection="1">
      <alignment horizontal="right"/>
      <protection locked="0"/>
    </xf>
    <xf numFmtId="164" fontId="9" fillId="9" borderId="1" xfId="0" applyNumberFormat="1" applyFont="1" applyFill="1" applyBorder="1" applyProtection="1">
      <protection hidden="1"/>
    </xf>
    <xf numFmtId="0" fontId="0" fillId="9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4" borderId="1" xfId="0" applyFill="1" applyBorder="1" applyProtection="1">
      <protection hidden="1"/>
    </xf>
    <xf numFmtId="164" fontId="13" fillId="6" borderId="1" xfId="0" applyNumberFormat="1" applyFont="1" applyFill="1" applyBorder="1" applyProtection="1">
      <protection hidden="1"/>
    </xf>
    <xf numFmtId="0" fontId="13" fillId="6" borderId="1" xfId="0" applyFont="1" applyFill="1" applyBorder="1" applyProtection="1">
      <protection hidden="1"/>
    </xf>
    <xf numFmtId="166" fontId="13" fillId="6" borderId="7" xfId="0" applyNumberFormat="1" applyFont="1" applyFill="1" applyBorder="1" applyAlignment="1" applyProtection="1">
      <alignment horizontal="right"/>
      <protection locked="0"/>
    </xf>
    <xf numFmtId="166" fontId="0" fillId="6" borderId="1" xfId="0" applyNumberFormat="1" applyFill="1" applyBorder="1" applyAlignment="1" applyProtection="1">
      <alignment horizontal="right"/>
      <protection hidden="1"/>
    </xf>
    <xf numFmtId="166" fontId="0" fillId="6" borderId="1" xfId="0" applyNumberFormat="1" applyFill="1" applyBorder="1" applyAlignment="1" applyProtection="1">
      <alignment horizontal="right"/>
      <protection locked="0"/>
    </xf>
    <xf numFmtId="166" fontId="0" fillId="0" borderId="2" xfId="0" applyNumberFormat="1" applyBorder="1" applyAlignment="1" applyProtection="1">
      <alignment horizontal="right"/>
      <protection hidden="1"/>
    </xf>
    <xf numFmtId="166" fontId="0" fillId="0" borderId="8" xfId="0" applyNumberForma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hidden="1"/>
    </xf>
    <xf numFmtId="164" fontId="13" fillId="9" borderId="7" xfId="0" applyNumberFormat="1" applyFont="1" applyFill="1" applyBorder="1" applyAlignment="1" applyProtection="1">
      <alignment horizontal="left"/>
      <protection hidden="1"/>
    </xf>
    <xf numFmtId="0" fontId="13" fillId="4" borderId="1" xfId="0" applyFont="1" applyFill="1" applyBorder="1" applyAlignment="1" applyProtection="1">
      <alignment horizontal="right"/>
      <protection hidden="1"/>
    </xf>
    <xf numFmtId="164" fontId="9" fillId="9" borderId="0" xfId="0" applyNumberFormat="1" applyFont="1" applyFill="1" applyAlignment="1" applyProtection="1">
      <alignment horizontal="left"/>
      <protection hidden="1"/>
    </xf>
    <xf numFmtId="0" fontId="19" fillId="9" borderId="7" xfId="0" applyFont="1" applyFill="1" applyBorder="1" applyAlignment="1" applyProtection="1">
      <alignment horizontal="left"/>
      <protection hidden="1"/>
    </xf>
    <xf numFmtId="166" fontId="0" fillId="0" borderId="7" xfId="0" applyNumberFormat="1" applyBorder="1" applyAlignment="1" applyProtection="1">
      <alignment horizontal="right"/>
      <protection hidden="1"/>
    </xf>
    <xf numFmtId="0" fontId="0" fillId="0" borderId="7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164" fontId="18" fillId="9" borderId="1" xfId="0" applyNumberFormat="1" applyFont="1" applyFill="1" applyBorder="1" applyAlignment="1" applyProtection="1">
      <alignment horizontal="left"/>
      <protection hidden="1"/>
    </xf>
    <xf numFmtId="0" fontId="18" fillId="9" borderId="1" xfId="0" applyFont="1" applyFill="1" applyBorder="1" applyAlignment="1" applyProtection="1">
      <alignment horizontal="left"/>
      <protection hidden="1"/>
    </xf>
    <xf numFmtId="0" fontId="18" fillId="9" borderId="1" xfId="0" applyFont="1" applyFill="1" applyBorder="1" applyAlignment="1" applyProtection="1">
      <alignment horizontal="right"/>
      <protection hidden="1"/>
    </xf>
    <xf numFmtId="164" fontId="18" fillId="9" borderId="2" xfId="0" applyNumberFormat="1" applyFont="1" applyFill="1" applyBorder="1" applyAlignment="1" applyProtection="1">
      <alignment horizontal="left"/>
      <protection hidden="1"/>
    </xf>
    <xf numFmtId="0" fontId="18" fillId="9" borderId="2" xfId="0" applyFont="1" applyFill="1" applyBorder="1" applyAlignment="1" applyProtection="1">
      <alignment horizontal="left"/>
      <protection hidden="1"/>
    </xf>
    <xf numFmtId="0" fontId="18" fillId="9" borderId="2" xfId="0" applyFont="1" applyFill="1" applyBorder="1" applyAlignment="1" applyProtection="1">
      <alignment horizontal="right"/>
      <protection hidden="1"/>
    </xf>
    <xf numFmtId="0" fontId="18" fillId="4" borderId="7" xfId="0" applyFont="1" applyFill="1" applyBorder="1" applyAlignment="1" applyProtection="1">
      <alignment horizontal="right"/>
      <protection hidden="1"/>
    </xf>
    <xf numFmtId="164" fontId="18" fillId="9" borderId="7" xfId="0" applyNumberFormat="1" applyFont="1" applyFill="1" applyBorder="1" applyAlignment="1" applyProtection="1">
      <alignment horizontal="left"/>
      <protection hidden="1"/>
    </xf>
    <xf numFmtId="0" fontId="18" fillId="9" borderId="7" xfId="0" applyFont="1" applyFill="1" applyBorder="1" applyAlignment="1" applyProtection="1">
      <alignment horizontal="left"/>
      <protection hidden="1"/>
    </xf>
    <xf numFmtId="0" fontId="18" fillId="9" borderId="7" xfId="0" applyFont="1" applyFill="1" applyBorder="1" applyAlignment="1" applyProtection="1">
      <alignment horizontal="right"/>
      <protection hidden="1"/>
    </xf>
    <xf numFmtId="0" fontId="18" fillId="4" borderId="7" xfId="0" applyFont="1" applyFill="1" applyBorder="1" applyAlignment="1" applyProtection="1">
      <alignment horizontal="right"/>
      <protection locked="0"/>
    </xf>
    <xf numFmtId="166" fontId="18" fillId="0" borderId="7" xfId="0" applyNumberFormat="1" applyFont="1" applyBorder="1" applyAlignment="1" applyProtection="1">
      <alignment horizontal="center"/>
      <protection hidden="1"/>
    </xf>
    <xf numFmtId="164" fontId="9" fillId="10" borderId="1" xfId="0" applyNumberFormat="1" applyFont="1" applyFill="1" applyBorder="1" applyAlignment="1" applyProtection="1">
      <alignment horizontal="left"/>
      <protection hidden="1"/>
    </xf>
    <xf numFmtId="0" fontId="0" fillId="10" borderId="1" xfId="0" applyFill="1" applyBorder="1" applyAlignment="1" applyProtection="1">
      <alignment horizontal="left"/>
      <protection hidden="1"/>
    </xf>
    <xf numFmtId="0" fontId="0" fillId="10" borderId="1" xfId="0" applyFill="1" applyBorder="1" applyAlignment="1" applyProtection="1">
      <alignment horizontal="right"/>
      <protection hidden="1"/>
    </xf>
    <xf numFmtId="165" fontId="0" fillId="4" borderId="1" xfId="0" applyNumberFormat="1" applyFill="1" applyBorder="1" applyAlignment="1" applyProtection="1">
      <alignment horizontal="right"/>
      <protection hidden="1"/>
    </xf>
    <xf numFmtId="0" fontId="19" fillId="10" borderId="1" xfId="0" applyFont="1" applyFill="1" applyBorder="1" applyAlignment="1" applyProtection="1">
      <alignment horizontal="left"/>
      <protection hidden="1"/>
    </xf>
    <xf numFmtId="164" fontId="9" fillId="10" borderId="1" xfId="0" applyNumberFormat="1" applyFont="1" applyFill="1" applyBorder="1" applyProtection="1">
      <protection hidden="1"/>
    </xf>
    <xf numFmtId="0" fontId="0" fillId="10" borderId="1" xfId="0" applyFill="1" applyBorder="1" applyProtection="1">
      <protection hidden="1"/>
    </xf>
    <xf numFmtId="166" fontId="0" fillId="10" borderId="1" xfId="3" applyFont="1" applyFill="1" applyBorder="1" applyAlignment="1">
      <alignment horizontal="left"/>
    </xf>
    <xf numFmtId="168" fontId="0" fillId="10" borderId="1" xfId="3" applyNumberFormat="1" applyFont="1" applyFill="1" applyBorder="1" applyAlignment="1">
      <alignment horizontal="left"/>
    </xf>
    <xf numFmtId="164" fontId="0" fillId="0" borderId="2" xfId="0" applyNumberFormat="1" applyBorder="1" applyAlignment="1" applyProtection="1">
      <alignment horizontal="left"/>
      <protection hidden="1"/>
    </xf>
    <xf numFmtId="164" fontId="9" fillId="0" borderId="2" xfId="0" applyNumberFormat="1" applyFont="1" applyBorder="1" applyAlignment="1" applyProtection="1">
      <alignment horizontal="left"/>
      <protection hidden="1"/>
    </xf>
    <xf numFmtId="0" fontId="9" fillId="7" borderId="2" xfId="0" applyFont="1" applyFill="1" applyBorder="1" applyAlignment="1" applyProtection="1">
      <alignment horizontal="left"/>
      <protection hidden="1"/>
    </xf>
    <xf numFmtId="0" fontId="0" fillId="7" borderId="2" xfId="0" applyFill="1" applyBorder="1" applyAlignment="1" applyProtection="1">
      <alignment horizontal="left"/>
      <protection hidden="1"/>
    </xf>
    <xf numFmtId="0" fontId="0" fillId="7" borderId="2" xfId="0" applyFill="1" applyBorder="1" applyAlignment="1" applyProtection="1">
      <alignment horizontal="right"/>
      <protection hidden="1"/>
    </xf>
    <xf numFmtId="0" fontId="9" fillId="7" borderId="2" xfId="0" applyFont="1" applyFill="1" applyBorder="1" applyAlignment="1" applyProtection="1">
      <alignment horizontal="right"/>
      <protection hidden="1"/>
    </xf>
    <xf numFmtId="166" fontId="0" fillId="7" borderId="2" xfId="0" applyNumberFormat="1" applyFill="1" applyBorder="1" applyAlignment="1" applyProtection="1">
      <alignment horizontal="right"/>
      <protection hidden="1"/>
    </xf>
    <xf numFmtId="166" fontId="11" fillId="8" borderId="2" xfId="0" applyNumberFormat="1" applyFont="1" applyFill="1" applyBorder="1" applyAlignment="1" applyProtection="1">
      <alignment horizontal="right"/>
      <protection hidden="1"/>
    </xf>
    <xf numFmtId="164" fontId="0" fillId="0" borderId="5" xfId="0" applyNumberFormat="1" applyBorder="1" applyAlignment="1" applyProtection="1">
      <alignment horizontal="left"/>
      <protection hidden="1"/>
    </xf>
    <xf numFmtId="164" fontId="9" fillId="0" borderId="5" xfId="0" applyNumberFormat="1" applyFont="1" applyBorder="1" applyAlignment="1" applyProtection="1">
      <alignment horizontal="left"/>
      <protection hidden="1"/>
    </xf>
    <xf numFmtId="0" fontId="9" fillId="7" borderId="5" xfId="0" applyFont="1" applyFill="1" applyBorder="1" applyAlignment="1" applyProtection="1">
      <alignment horizontal="left"/>
      <protection hidden="1"/>
    </xf>
    <xf numFmtId="0" fontId="0" fillId="7" borderId="5" xfId="0" applyFill="1" applyBorder="1" applyAlignment="1" applyProtection="1">
      <alignment horizontal="left"/>
      <protection hidden="1"/>
    </xf>
    <xf numFmtId="0" fontId="0" fillId="7" borderId="5" xfId="0" applyFill="1" applyBorder="1" applyAlignment="1" applyProtection="1">
      <alignment horizontal="right"/>
      <protection hidden="1"/>
    </xf>
    <xf numFmtId="0" fontId="9" fillId="7" borderId="5" xfId="0" applyFont="1" applyFill="1" applyBorder="1" applyAlignment="1" applyProtection="1">
      <alignment horizontal="right"/>
      <protection hidden="1"/>
    </xf>
    <xf numFmtId="166" fontId="11" fillId="7" borderId="5" xfId="0" applyNumberFormat="1" applyFont="1" applyFill="1" applyBorder="1" applyAlignment="1" applyProtection="1">
      <alignment horizontal="right"/>
      <protection hidden="1"/>
    </xf>
    <xf numFmtId="166" fontId="11" fillId="4" borderId="5" xfId="0" applyNumberFormat="1" applyFont="1" applyFill="1" applyBorder="1" applyAlignment="1" applyProtection="1">
      <alignment horizontal="right"/>
      <protection hidden="1"/>
    </xf>
    <xf numFmtId="164" fontId="0" fillId="0" borderId="1" xfId="0" applyNumberFormat="1" applyBorder="1" applyAlignment="1" applyProtection="1">
      <alignment horizontal="left"/>
      <protection hidden="1"/>
    </xf>
    <xf numFmtId="0" fontId="9" fillId="8" borderId="1" xfId="0" applyFont="1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right"/>
      <protection hidden="1"/>
    </xf>
    <xf numFmtId="166" fontId="11" fillId="8" borderId="1" xfId="0" applyNumberFormat="1" applyFont="1" applyFill="1" applyBorder="1" applyAlignment="1" applyProtection="1">
      <alignment horizontal="right"/>
      <protection hidden="1"/>
    </xf>
    <xf numFmtId="164" fontId="0" fillId="0" borderId="11" xfId="0" applyNumberFormat="1" applyBorder="1" applyAlignment="1" applyProtection="1">
      <alignment horizontal="left"/>
      <protection hidden="1"/>
    </xf>
    <xf numFmtId="164" fontId="9" fillId="0" borderId="11" xfId="0" applyNumberFormat="1" applyFont="1" applyBorder="1" applyAlignment="1" applyProtection="1">
      <alignment horizontal="left"/>
      <protection hidden="1"/>
    </xf>
    <xf numFmtId="0" fontId="0" fillId="8" borderId="11" xfId="0" applyFill="1" applyBorder="1" applyAlignment="1" applyProtection="1">
      <alignment horizontal="left"/>
      <protection hidden="1"/>
    </xf>
    <xf numFmtId="0" fontId="0" fillId="8" borderId="11" xfId="0" applyFill="1" applyBorder="1" applyAlignment="1" applyProtection="1">
      <alignment horizontal="right"/>
      <protection hidden="1"/>
    </xf>
    <xf numFmtId="166" fontId="11" fillId="8" borderId="11" xfId="0" applyNumberFormat="1" applyFont="1" applyFill="1" applyBorder="1" applyAlignment="1" applyProtection="1">
      <alignment horizontal="right"/>
      <protection hidden="1"/>
    </xf>
    <xf numFmtId="166" fontId="11" fillId="4" borderId="11" xfId="0" applyNumberFormat="1" applyFont="1" applyFill="1" applyBorder="1" applyAlignment="1" applyProtection="1">
      <alignment horizontal="right"/>
      <protection hidden="1"/>
    </xf>
    <xf numFmtId="164" fontId="0" fillId="0" borderId="7" xfId="0" applyNumberFormat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164" fontId="0" fillId="0" borderId="12" xfId="0" applyNumberFormat="1" applyBorder="1" applyProtection="1">
      <protection hidden="1"/>
    </xf>
    <xf numFmtId="164" fontId="9" fillId="0" borderId="3" xfId="0" applyNumberFormat="1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9" fillId="0" borderId="15" xfId="0" applyFont="1" applyBorder="1" applyAlignment="1" applyProtection="1">
      <alignment horizontal="right"/>
      <protection hidden="1"/>
    </xf>
    <xf numFmtId="167" fontId="9" fillId="0" borderId="1" xfId="12" applyFont="1" applyBorder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right"/>
      <protection hidden="1"/>
    </xf>
    <xf numFmtId="166" fontId="0" fillId="0" borderId="14" xfId="0" applyNumberFormat="1" applyBorder="1" applyAlignment="1" applyProtection="1">
      <alignment horizontal="right"/>
      <protection hidden="1"/>
    </xf>
    <xf numFmtId="164" fontId="9" fillId="0" borderId="12" xfId="0" applyNumberFormat="1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14" xfId="0" applyFont="1" applyBorder="1" applyAlignment="1" applyProtection="1">
      <alignment horizontal="right"/>
      <protection hidden="1"/>
    </xf>
    <xf numFmtId="0" fontId="9" fillId="0" borderId="1" xfId="0" applyFont="1" applyBorder="1" applyAlignment="1" applyProtection="1">
      <alignment horizontal="right"/>
      <protection locked="0"/>
    </xf>
    <xf numFmtId="167" fontId="9" fillId="0" borderId="0" xfId="0" applyNumberFormat="1" applyFont="1" applyAlignment="1" applyProtection="1">
      <alignment horizontal="center"/>
      <protection hidden="1"/>
    </xf>
    <xf numFmtId="167" fontId="9" fillId="0" borderId="14" xfId="0" applyNumberFormat="1" applyFont="1" applyBorder="1" applyAlignment="1" applyProtection="1">
      <alignment horizontal="right"/>
      <protection locked="0"/>
    </xf>
    <xf numFmtId="164" fontId="9" fillId="0" borderId="10" xfId="0" applyNumberFormat="1" applyFont="1" applyBorder="1" applyProtection="1">
      <protection hidden="1"/>
    </xf>
    <xf numFmtId="0" fontId="9" fillId="0" borderId="16" xfId="0" applyFont="1" applyBorder="1" applyProtection="1">
      <protection hidden="1"/>
    </xf>
    <xf numFmtId="167" fontId="9" fillId="0" borderId="17" xfId="12" applyFont="1" applyBorder="1" applyAlignment="1" applyProtection="1">
      <alignment horizontal="right"/>
      <protection hidden="1"/>
    </xf>
    <xf numFmtId="166" fontId="9" fillId="0" borderId="0" xfId="0" applyNumberFormat="1" applyFont="1" applyAlignment="1" applyProtection="1">
      <alignment horizontal="right"/>
      <protection hidden="1"/>
    </xf>
    <xf numFmtId="166" fontId="11" fillId="0" borderId="14" xfId="0" applyNumberFormat="1" applyFont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164" fontId="0" fillId="0" borderId="10" xfId="0" applyNumberFormat="1" applyBorder="1" applyProtection="1">
      <protection hidden="1"/>
    </xf>
    <xf numFmtId="164" fontId="0" fillId="0" borderId="16" xfId="0" applyNumberForma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16" xfId="0" applyBorder="1" applyAlignment="1" applyProtection="1">
      <alignment horizontal="right"/>
      <protection hidden="1"/>
    </xf>
    <xf numFmtId="166" fontId="0" fillId="0" borderId="16" xfId="0" applyNumberFormat="1" applyBorder="1" applyAlignment="1" applyProtection="1">
      <alignment horizontal="right"/>
      <protection hidden="1"/>
    </xf>
    <xf numFmtId="166" fontId="0" fillId="0" borderId="17" xfId="0" applyNumberFormat="1" applyBorder="1" applyAlignment="1" applyProtection="1">
      <alignment horizontal="right"/>
      <protection hidden="1"/>
    </xf>
    <xf numFmtId="166" fontId="0" fillId="0" borderId="0" xfId="0" applyNumberFormat="1" applyProtection="1">
      <protection hidden="1"/>
    </xf>
    <xf numFmtId="164" fontId="0" fillId="0" borderId="18" xfId="0" applyNumberFormat="1" applyBorder="1" applyProtection="1">
      <protection hidden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0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71" fontId="13" fillId="0" borderId="19" xfId="0" applyNumberFormat="1" applyFont="1" applyBorder="1" applyAlignment="1">
      <alignment horizontal="center"/>
    </xf>
    <xf numFmtId="171" fontId="13" fillId="0" borderId="0" xfId="0" applyNumberFormat="1" applyFont="1" applyAlignment="1">
      <alignment horizontal="center"/>
    </xf>
    <xf numFmtId="0" fontId="13" fillId="0" borderId="20" xfId="0" applyFont="1" applyBorder="1" applyAlignment="1">
      <alignment horizontal="center"/>
    </xf>
    <xf numFmtId="171" fontId="13" fillId="0" borderId="21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171" fontId="13" fillId="0" borderId="23" xfId="0" applyNumberFormat="1" applyFont="1" applyBorder="1" applyAlignment="1">
      <alignment horizontal="center"/>
    </xf>
    <xf numFmtId="0" fontId="18" fillId="0" borderId="0" xfId="0" applyFont="1"/>
    <xf numFmtId="165" fontId="22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vertical="top" wrapText="1"/>
    </xf>
    <xf numFmtId="0" fontId="9" fillId="9" borderId="3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4" xfId="0" applyFill="1" applyBorder="1" applyAlignment="1">
      <alignment horizontal="center" vertical="top" wrapText="1"/>
    </xf>
    <xf numFmtId="0" fontId="0" fillId="9" borderId="24" xfId="0" applyFill="1" applyBorder="1" applyAlignment="1">
      <alignment horizontal="center" vertical="top" wrapText="1"/>
    </xf>
    <xf numFmtId="0" fontId="23" fillId="9" borderId="3" xfId="0" applyFont="1" applyFill="1" applyBorder="1" applyAlignment="1">
      <alignment horizontal="left"/>
    </xf>
    <xf numFmtId="0" fontId="0" fillId="9" borderId="15" xfId="0" applyFill="1" applyBorder="1" applyAlignment="1">
      <alignment horizontal="center" vertical="top" wrapText="1"/>
    </xf>
    <xf numFmtId="0" fontId="0" fillId="9" borderId="12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center" vertical="top" wrapText="1"/>
    </xf>
    <xf numFmtId="0" fontId="0" fillId="9" borderId="14" xfId="0" applyFill="1" applyBorder="1" applyAlignment="1">
      <alignment horizontal="center" vertical="top" wrapText="1"/>
    </xf>
    <xf numFmtId="0" fontId="0" fillId="9" borderId="12" xfId="0" applyFill="1" applyBorder="1" applyAlignment="1">
      <alignment vertical="top"/>
    </xf>
    <xf numFmtId="0" fontId="9" fillId="9" borderId="12" xfId="0" applyFont="1" applyFill="1" applyBorder="1" applyAlignment="1">
      <alignment vertical="top"/>
    </xf>
    <xf numFmtId="0" fontId="9" fillId="9" borderId="10" xfId="0" applyFont="1" applyFill="1" applyBorder="1" applyAlignment="1">
      <alignment vertical="top"/>
    </xf>
    <xf numFmtId="0" fontId="0" fillId="9" borderId="16" xfId="0" applyFill="1" applyBorder="1" applyAlignment="1">
      <alignment horizontal="center" vertical="top" wrapText="1"/>
    </xf>
    <xf numFmtId="0" fontId="0" fillId="9" borderId="17" xfId="0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18" fillId="11" borderId="25" xfId="0" applyFont="1" applyFill="1" applyBorder="1" applyAlignment="1">
      <alignment wrapText="1"/>
    </xf>
    <xf numFmtId="165" fontId="21" fillId="11" borderId="26" xfId="0" applyNumberFormat="1" applyFont="1" applyFill="1" applyBorder="1" applyAlignment="1">
      <alignment horizontal="center" wrapText="1"/>
    </xf>
    <xf numFmtId="0" fontId="18" fillId="11" borderId="25" xfId="0" applyFont="1" applyFill="1" applyBorder="1"/>
    <xf numFmtId="165" fontId="21" fillId="11" borderId="26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3" borderId="2" xfId="0" applyNumberFormat="1" applyFill="1" applyBorder="1" applyAlignment="1" applyProtection="1">
      <alignment horizontal="left"/>
      <protection hidden="1"/>
    </xf>
    <xf numFmtId="165" fontId="0" fillId="3" borderId="24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4" fontId="0" fillId="3" borderId="1" xfId="0" applyNumberFormat="1" applyFill="1" applyBorder="1" applyAlignment="1" applyProtection="1">
      <alignment horizontal="left"/>
      <protection hidden="1"/>
    </xf>
    <xf numFmtId="164" fontId="0" fillId="3" borderId="1" xfId="0" applyNumberFormat="1" applyFill="1" applyBorder="1" applyAlignment="1" applyProtection="1">
      <alignment horizontal="left" vertical="top"/>
      <protection hidden="1"/>
    </xf>
    <xf numFmtId="0" fontId="0" fillId="3" borderId="1" xfId="0" applyFill="1" applyBorder="1" applyAlignment="1">
      <alignment vertical="top"/>
    </xf>
    <xf numFmtId="165" fontId="0" fillId="3" borderId="24" xfId="0" applyNumberFormat="1" applyFill="1" applyBorder="1" applyAlignment="1">
      <alignment horizontal="center" vertical="top"/>
    </xf>
    <xf numFmtId="165" fontId="0" fillId="3" borderId="1" xfId="0" applyNumberFormat="1" applyFill="1" applyBorder="1" applyAlignment="1">
      <alignment horizontal="center" vertical="top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12" fillId="0" borderId="4" xfId="0" applyFont="1" applyBorder="1" applyAlignment="1">
      <alignment horizontal="center" vertical="top" wrapText="1"/>
    </xf>
    <xf numFmtId="0" fontId="13" fillId="0" borderId="0" xfId="0" applyFont="1"/>
    <xf numFmtId="0" fontId="12" fillId="0" borderId="0" xfId="0" applyFont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70" fontId="0" fillId="12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0" fontId="24" fillId="0" borderId="16" xfId="0" applyFont="1" applyBorder="1" applyAlignment="1">
      <alignment vertical="top" wrapText="1" shrinkToFit="1" readingOrder="1"/>
    </xf>
    <xf numFmtId="0" fontId="3" fillId="0" borderId="0" xfId="0" applyFont="1"/>
    <xf numFmtId="0" fontId="2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9" fontId="4" fillId="0" borderId="1" xfId="0" applyNumberFormat="1" applyFont="1" applyBorder="1" applyAlignment="1">
      <alignment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169" fontId="4" fillId="4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164" fontId="3" fillId="4" borderId="9" xfId="7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4" fillId="4" borderId="1" xfId="0" applyFont="1" applyFill="1" applyBorder="1" applyAlignment="1">
      <alignment horizontal="center" vertical="top" wrapText="1"/>
    </xf>
    <xf numFmtId="169" fontId="4" fillId="0" borderId="1" xfId="0" applyNumberFormat="1" applyFont="1" applyBorder="1" applyAlignment="1">
      <alignment vertical="top" wrapText="1"/>
    </xf>
    <xf numFmtId="167" fontId="4" fillId="4" borderId="1" xfId="0" applyNumberFormat="1" applyFont="1" applyFill="1" applyBorder="1" applyAlignment="1">
      <alignment horizontal="center" vertical="top" wrapText="1"/>
    </xf>
    <xf numFmtId="169" fontId="4" fillId="4" borderId="1" xfId="0" applyNumberFormat="1" applyFont="1" applyFill="1" applyBorder="1" applyAlignment="1">
      <alignment horizontal="right" vertical="top" wrapText="1"/>
    </xf>
    <xf numFmtId="164" fontId="3" fillId="4" borderId="9" xfId="7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4" fillId="4" borderId="9" xfId="0" applyFont="1" applyFill="1" applyBorder="1" applyAlignment="1">
      <alignment horizontal="center" vertical="top" wrapText="1"/>
    </xf>
    <xf numFmtId="164" fontId="3" fillId="4" borderId="9" xfId="7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4" fillId="13" borderId="1" xfId="10" applyFill="1" applyBorder="1" applyAlignment="1">
      <alignment vertical="top"/>
    </xf>
    <xf numFmtId="169" fontId="4" fillId="4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4" fontId="3" fillId="0" borderId="9" xfId="7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71" fontId="3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4" borderId="9" xfId="0" applyFont="1" applyFill="1" applyBorder="1" applyAlignment="1">
      <alignment horizontal="center" vertical="center" wrapText="1"/>
    </xf>
    <xf numFmtId="164" fontId="3" fillId="0" borderId="1" xfId="11" applyNumberFormat="1" applyBorder="1" applyAlignment="1">
      <alignment vertical="top" wrapText="1"/>
    </xf>
    <xf numFmtId="164" fontId="3" fillId="0" borderId="1" xfId="11" applyNumberFormat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0" borderId="1" xfId="11" applyNumberFormat="1" applyBorder="1" applyAlignment="1">
      <alignment horizontal="left" vertical="center" wrapText="1"/>
    </xf>
    <xf numFmtId="164" fontId="3" fillId="0" borderId="1" xfId="11" applyNumberFormat="1" applyBorder="1" applyAlignment="1">
      <alignment horizontal="center" vertical="center" wrapText="1"/>
    </xf>
    <xf numFmtId="169" fontId="4" fillId="4" borderId="1" xfId="0" applyNumberFormat="1" applyFont="1" applyFill="1" applyBorder="1" applyAlignment="1">
      <alignment horizontal="center" vertical="center" wrapText="1"/>
    </xf>
    <xf numFmtId="164" fontId="3" fillId="0" borderId="1" xfId="7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24" fillId="0" borderId="9" xfId="0" applyFont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24" xfId="0" applyFont="1" applyBorder="1" applyAlignment="1">
      <alignment vertical="top" wrapText="1"/>
    </xf>
    <xf numFmtId="0" fontId="24" fillId="0" borderId="22" xfId="0" applyFont="1" applyBorder="1" applyAlignment="1">
      <alignment horizontal="left" vertical="top" wrapText="1"/>
    </xf>
    <xf numFmtId="169" fontId="3" fillId="0" borderId="1" xfId="7" applyNumberFormat="1" applyBorder="1" applyAlignment="1">
      <alignment horizontal="right" vertical="center" wrapText="1"/>
    </xf>
    <xf numFmtId="172" fontId="3" fillId="4" borderId="1" xfId="7" applyNumberFormat="1" applyFill="1" applyBorder="1" applyAlignment="1">
      <alignment horizontal="center" vertical="center" wrapText="1"/>
    </xf>
    <xf numFmtId="164" fontId="3" fillId="4" borderId="1" xfId="7" applyFill="1" applyBorder="1" applyAlignment="1">
      <alignment horizontal="center" vertical="center" wrapText="1"/>
    </xf>
    <xf numFmtId="0" fontId="3" fillId="0" borderId="9" xfId="0" applyFont="1" applyBorder="1"/>
    <xf numFmtId="0" fontId="3" fillId="4" borderId="1" xfId="0" applyFont="1" applyFill="1" applyBorder="1"/>
    <xf numFmtId="164" fontId="4" fillId="4" borderId="1" xfId="10" applyFill="1" applyBorder="1" applyAlignment="1">
      <alignment vertical="top"/>
    </xf>
    <xf numFmtId="49" fontId="4" fillId="4" borderId="1" xfId="10" applyNumberForma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169" fontId="8" fillId="0" borderId="1" xfId="0" applyNumberFormat="1" applyFont="1" applyBorder="1"/>
    <xf numFmtId="174" fontId="3" fillId="0" borderId="0" xfId="4" applyFont="1"/>
    <xf numFmtId="0" fontId="8" fillId="4" borderId="22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169" fontId="3" fillId="4" borderId="7" xfId="7" applyNumberFormat="1" applyFill="1" applyBorder="1" applyAlignment="1">
      <alignment horizontal="right" vertical="center" wrapText="1"/>
    </xf>
    <xf numFmtId="167" fontId="3" fillId="4" borderId="7" xfId="0" applyNumberFormat="1" applyFont="1" applyFill="1" applyBorder="1" applyAlignment="1">
      <alignment horizontal="center" vertical="center" wrapText="1"/>
    </xf>
    <xf numFmtId="169" fontId="3" fillId="4" borderId="7" xfId="0" applyNumberFormat="1" applyFont="1" applyFill="1" applyBorder="1" applyAlignment="1">
      <alignment horizontal="right" vertical="center" wrapText="1"/>
    </xf>
    <xf numFmtId="0" fontId="27" fillId="14" borderId="27" xfId="0" applyFont="1" applyFill="1" applyBorder="1" applyAlignment="1">
      <alignment horizontal="center" vertical="center" wrapText="1"/>
    </xf>
    <xf numFmtId="0" fontId="27" fillId="14" borderId="27" xfId="0" applyFont="1" applyFill="1" applyBorder="1" applyAlignment="1" applyProtection="1">
      <alignment vertical="center" wrapText="1"/>
      <protection locked="0"/>
    </xf>
    <xf numFmtId="0" fontId="27" fillId="14" borderId="27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 vertical="center"/>
    </xf>
    <xf numFmtId="0" fontId="25" fillId="0" borderId="0" xfId="0" applyFont="1"/>
    <xf numFmtId="4" fontId="25" fillId="0" borderId="0" xfId="0" applyNumberFormat="1" applyFont="1"/>
    <xf numFmtId="0" fontId="26" fillId="0" borderId="0" xfId="0" applyFont="1" applyAlignment="1">
      <alignment vertical="center" wrapText="1"/>
    </xf>
    <xf numFmtId="0" fontId="27" fillId="0" borderId="37" xfId="0" applyFont="1" applyBorder="1"/>
    <xf numFmtId="169" fontId="8" fillId="0" borderId="38" xfId="0" applyNumberFormat="1" applyFont="1" applyBorder="1" applyAlignment="1">
      <alignment vertical="center"/>
    </xf>
    <xf numFmtId="169" fontId="8" fillId="0" borderId="39" xfId="0" applyNumberFormat="1" applyFont="1" applyBorder="1" applyAlignment="1">
      <alignment vertical="center"/>
    </xf>
    <xf numFmtId="0" fontId="27" fillId="14" borderId="28" xfId="0" applyFont="1" applyFill="1" applyBorder="1" applyAlignment="1" applyProtection="1">
      <alignment vertical="center" wrapText="1"/>
      <protection locked="0"/>
    </xf>
    <xf numFmtId="0" fontId="27" fillId="14" borderId="36" xfId="0" applyFont="1" applyFill="1" applyBorder="1" applyAlignment="1">
      <alignment vertical="center" wrapText="1"/>
    </xf>
    <xf numFmtId="0" fontId="27" fillId="14" borderId="40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26" fillId="15" borderId="31" xfId="0" applyFont="1" applyFill="1" applyBorder="1" applyAlignment="1">
      <alignment horizontal="center" vertical="center" wrapText="1"/>
    </xf>
    <xf numFmtId="0" fontId="26" fillId="15" borderId="33" xfId="0" applyFont="1" applyFill="1" applyBorder="1" applyAlignment="1">
      <alignment horizontal="center" vertical="center"/>
    </xf>
    <xf numFmtId="3" fontId="26" fillId="15" borderId="31" xfId="0" applyNumberFormat="1" applyFont="1" applyFill="1" applyBorder="1" applyAlignment="1">
      <alignment horizontal="center" vertical="center"/>
    </xf>
    <xf numFmtId="0" fontId="26" fillId="15" borderId="32" xfId="0" applyFont="1" applyFill="1" applyBorder="1" applyAlignment="1" applyProtection="1">
      <alignment horizontal="center" vertical="center" wrapText="1"/>
      <protection locked="0"/>
    </xf>
    <xf numFmtId="0" fontId="26" fillId="15" borderId="32" xfId="0" applyFont="1" applyFill="1" applyBorder="1" applyAlignment="1">
      <alignment horizontal="center" vertical="center" wrapText="1"/>
    </xf>
    <xf numFmtId="0" fontId="27" fillId="0" borderId="37" xfId="0" applyFont="1" applyBorder="1" applyAlignment="1">
      <alignment vertical="center"/>
    </xf>
    <xf numFmtId="0" fontId="8" fillId="1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4" borderId="9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6" fillId="15" borderId="31" xfId="0" applyFont="1" applyFill="1" applyBorder="1" applyAlignment="1">
      <alignment horizontal="center" vertical="center" wrapText="1"/>
    </xf>
    <xf numFmtId="0" fontId="26" fillId="15" borderId="3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26" fillId="15" borderId="32" xfId="0" applyFont="1" applyFill="1" applyBorder="1" applyAlignment="1">
      <alignment horizontal="center" vertical="center"/>
    </xf>
    <xf numFmtId="0" fontId="26" fillId="14" borderId="34" xfId="0" applyFont="1" applyFill="1" applyBorder="1" applyAlignment="1">
      <alignment horizontal="left" vertical="center" wrapText="1"/>
    </xf>
    <xf numFmtId="0" fontId="27" fillId="14" borderId="27" xfId="0" applyFont="1" applyFill="1" applyBorder="1" applyAlignment="1">
      <alignment horizontal="left" vertical="center" wrapText="1"/>
    </xf>
    <xf numFmtId="0" fontId="27" fillId="14" borderId="41" xfId="0" applyFont="1" applyFill="1" applyBorder="1" applyAlignment="1">
      <alignment horizontal="center" vertical="center" wrapText="1"/>
    </xf>
    <xf numFmtId="0" fontId="27" fillId="14" borderId="30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0" fillId="0" borderId="0" xfId="0"/>
    <xf numFmtId="0" fontId="24" fillId="0" borderId="9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 shrinkToFit="1" readingOrder="1"/>
    </xf>
    <xf numFmtId="0" fontId="0" fillId="0" borderId="16" xfId="0" applyBorder="1"/>
    <xf numFmtId="0" fontId="3" fillId="0" borderId="0" xfId="0" applyFont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64" fontId="3" fillId="0" borderId="2" xfId="11" applyNumberFormat="1" applyBorder="1" applyAlignment="1">
      <alignment horizontal="left" vertical="center" wrapText="1"/>
    </xf>
  </cellXfs>
  <cellStyles count="15">
    <cellStyle name="ConditionalStyle_1" xfId="1" xr:uid="{00000000-0005-0000-0000-000000000000}"/>
    <cellStyle name="Currency 2" xfId="2" xr:uid="{00000000-0005-0000-0000-000001000000}"/>
    <cellStyle name="Currency_3_ KisvárdaCalc Matric DxI szept 2009A" xfId="3" xr:uid="{00000000-0005-0000-0000-000002000000}"/>
    <cellStyle name="Excel Built-in Comma" xfId="4" xr:uid="{00000000-0005-0000-0000-000003000000}"/>
    <cellStyle name="Heading" xfId="5" xr:uid="{00000000-0005-0000-0000-000004000000}"/>
    <cellStyle name="Heading1" xfId="6" xr:uid="{00000000-0005-0000-0000-000005000000}"/>
    <cellStyle name="Normal 2" xfId="7" xr:uid="{00000000-0005-0000-0000-000006000000}"/>
    <cellStyle name="Normal 2 2" xfId="8" xr:uid="{00000000-0005-0000-0000-000007000000}"/>
    <cellStyle name="Normal 3" xfId="9" xr:uid="{00000000-0005-0000-0000-000008000000}"/>
    <cellStyle name="Normal 8" xfId="10" xr:uid="{00000000-0005-0000-0000-000009000000}"/>
    <cellStyle name="Normalny" xfId="0" builtinId="0" customBuiltin="1"/>
    <cellStyle name="Normalny 2" xfId="11" xr:uid="{00000000-0005-0000-0000-00000B000000}"/>
    <cellStyle name="Percent 2" xfId="12" xr:uid="{00000000-0005-0000-0000-00000C000000}"/>
    <cellStyle name="Result" xfId="13" xr:uid="{00000000-0005-0000-0000-00000D000000}"/>
    <cellStyle name="Result2" xfId="14" xr:uid="{00000000-0005-0000-0000-00000E000000}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CE6F2"/>
          <bgColor rgb="FFDCE6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SK44"/>
  <sheetViews>
    <sheetView tabSelected="1" zoomScaleNormal="100" workbookViewId="0">
      <selection activeCell="B31" sqref="B31"/>
    </sheetView>
  </sheetViews>
  <sheetFormatPr defaultRowHeight="12.75" x14ac:dyDescent="0.2"/>
  <cols>
    <col min="1" max="1" width="5.625" style="2" customWidth="1"/>
    <col min="2" max="2" width="26.125" style="2" customWidth="1"/>
    <col min="3" max="3" width="14.875" style="1" customWidth="1"/>
    <col min="4" max="4" width="10.5" style="2" customWidth="1"/>
    <col min="5" max="5" width="14" style="2" customWidth="1"/>
    <col min="6" max="6" width="13.625" style="2" customWidth="1"/>
    <col min="7" max="7" width="7.125" style="2" customWidth="1"/>
    <col min="8" max="8" width="14.5" style="2" customWidth="1"/>
    <col min="9" max="9" width="12.5" style="2" customWidth="1"/>
    <col min="10" max="10" width="13.25" style="2" customWidth="1"/>
    <col min="11" max="11" width="15.125" style="2" customWidth="1"/>
    <col min="12" max="12" width="15" style="2" customWidth="1"/>
    <col min="13" max="17" width="8.5" style="313" customWidth="1"/>
    <col min="18" max="15377" width="9" style="313"/>
    <col min="15378" max="16384" width="9" style="2"/>
  </cols>
  <sheetData>
    <row r="1" spans="1:12" ht="15.75" x14ac:dyDescent="0.2">
      <c r="B1" s="414" t="s">
        <v>509</v>
      </c>
      <c r="C1" s="414"/>
      <c r="D1" s="414"/>
      <c r="E1" s="414"/>
      <c r="F1" s="414"/>
      <c r="G1" s="414"/>
      <c r="H1" s="414"/>
      <c r="I1" s="414"/>
      <c r="J1" s="414"/>
      <c r="K1" s="414"/>
    </row>
    <row r="2" spans="1:12" s="313" customFormat="1" ht="15.75" customHeight="1" x14ac:dyDescent="0.2">
      <c r="A2" s="2"/>
      <c r="B2" s="2"/>
      <c r="C2" s="1"/>
      <c r="D2" s="2"/>
      <c r="E2" s="2"/>
      <c r="F2" s="2"/>
      <c r="G2" s="2"/>
      <c r="H2" s="2"/>
      <c r="I2" s="1"/>
      <c r="J2" s="1"/>
      <c r="K2" s="2"/>
      <c r="L2" s="2"/>
    </row>
    <row r="3" spans="1:12" s="313" customFormat="1" ht="43.5" customHeight="1" x14ac:dyDescent="0.2">
      <c r="A3" s="406" t="s">
        <v>0</v>
      </c>
      <c r="B3" s="406" t="s">
        <v>1</v>
      </c>
      <c r="C3" s="406" t="s">
        <v>2</v>
      </c>
      <c r="D3" s="406" t="s">
        <v>3</v>
      </c>
      <c r="E3" s="406" t="s">
        <v>4</v>
      </c>
      <c r="F3" s="406" t="s">
        <v>5</v>
      </c>
      <c r="G3" s="406" t="s">
        <v>6</v>
      </c>
      <c r="H3" s="406" t="s">
        <v>7</v>
      </c>
      <c r="I3" s="406" t="s">
        <v>8</v>
      </c>
      <c r="J3" s="406" t="s">
        <v>9</v>
      </c>
      <c r="K3" s="413" t="s">
        <v>10</v>
      </c>
      <c r="L3" s="413"/>
    </row>
    <row r="4" spans="1:12" s="313" customFormat="1" ht="18.75" customHeight="1" x14ac:dyDescent="0.2">
      <c r="A4" s="415" t="s">
        <v>522</v>
      </c>
      <c r="B4" s="416"/>
      <c r="C4" s="416"/>
      <c r="D4" s="416"/>
      <c r="E4" s="380"/>
      <c r="F4" s="380"/>
      <c r="G4" s="380"/>
      <c r="H4" s="380"/>
      <c r="I4" s="380"/>
      <c r="J4" s="380"/>
      <c r="K4" s="380"/>
      <c r="L4" s="381"/>
    </row>
    <row r="5" spans="1:12" s="313" customFormat="1" ht="15" customHeight="1" x14ac:dyDescent="0.2">
      <c r="A5" s="3">
        <v>1</v>
      </c>
      <c r="B5" s="4" t="s">
        <v>11</v>
      </c>
      <c r="C5" s="5">
        <v>12600</v>
      </c>
      <c r="D5" s="6"/>
      <c r="E5" s="3"/>
      <c r="F5" s="7"/>
      <c r="G5" s="8"/>
      <c r="H5" s="9"/>
      <c r="I5" s="9"/>
      <c r="J5" s="9"/>
      <c r="K5" s="5"/>
      <c r="L5" s="3"/>
    </row>
    <row r="6" spans="1:12" s="313" customFormat="1" ht="15" customHeight="1" x14ac:dyDescent="0.2">
      <c r="A6" s="3">
        <v>2</v>
      </c>
      <c r="B6" s="4" t="s">
        <v>12</v>
      </c>
      <c r="C6" s="5">
        <v>9800</v>
      </c>
      <c r="D6" s="6"/>
      <c r="E6" s="3"/>
      <c r="F6" s="7"/>
      <c r="G6" s="8"/>
      <c r="H6" s="9"/>
      <c r="I6" s="9"/>
      <c r="J6" s="9"/>
      <c r="K6" s="5"/>
      <c r="L6" s="3"/>
    </row>
    <row r="7" spans="1:12" s="313" customFormat="1" ht="15" customHeight="1" x14ac:dyDescent="0.2">
      <c r="A7" s="3">
        <v>3</v>
      </c>
      <c r="B7" s="4" t="s">
        <v>13</v>
      </c>
      <c r="C7" s="5">
        <v>8000</v>
      </c>
      <c r="D7" s="6"/>
      <c r="E7" s="3"/>
      <c r="F7" s="7"/>
      <c r="G7" s="8"/>
      <c r="H7" s="9"/>
      <c r="I7" s="9"/>
      <c r="J7" s="9"/>
      <c r="K7" s="5"/>
      <c r="L7" s="5"/>
    </row>
    <row r="8" spans="1:12" s="313" customFormat="1" ht="15" customHeight="1" x14ac:dyDescent="0.2">
      <c r="A8" s="3">
        <v>4</v>
      </c>
      <c r="B8" s="4" t="s">
        <v>14</v>
      </c>
      <c r="C8" s="5">
        <v>450</v>
      </c>
      <c r="D8" s="6"/>
      <c r="E8" s="3"/>
      <c r="F8" s="7"/>
      <c r="G8" s="8"/>
      <c r="H8" s="9"/>
      <c r="I8" s="9"/>
      <c r="J8" s="9"/>
      <c r="K8" s="5"/>
      <c r="L8" s="3"/>
    </row>
    <row r="9" spans="1:12" s="313" customFormat="1" ht="15" customHeight="1" x14ac:dyDescent="0.2">
      <c r="A9" s="3">
        <v>5</v>
      </c>
      <c r="B9" s="4" t="s">
        <v>15</v>
      </c>
      <c r="C9" s="5">
        <v>450</v>
      </c>
      <c r="D9" s="6"/>
      <c r="E9" s="3"/>
      <c r="F9" s="7"/>
      <c r="G9" s="8"/>
      <c r="H9" s="9"/>
      <c r="I9" s="9"/>
      <c r="J9" s="9"/>
      <c r="K9" s="5"/>
      <c r="L9" s="3"/>
    </row>
    <row r="10" spans="1:12" s="313" customFormat="1" ht="15" customHeight="1" x14ac:dyDescent="0.2">
      <c r="A10" s="3">
        <v>6</v>
      </c>
      <c r="B10" s="4" t="s">
        <v>16</v>
      </c>
      <c r="C10" s="5">
        <v>700</v>
      </c>
      <c r="D10" s="6"/>
      <c r="E10" s="3"/>
      <c r="F10" s="7"/>
      <c r="G10" s="8"/>
      <c r="H10" s="9"/>
      <c r="I10" s="9"/>
      <c r="J10" s="9"/>
      <c r="K10" s="5"/>
      <c r="L10" s="3"/>
    </row>
    <row r="11" spans="1:12" s="313" customFormat="1" ht="15" customHeight="1" x14ac:dyDescent="0.2">
      <c r="A11" s="3">
        <v>7</v>
      </c>
      <c r="B11" s="4" t="s">
        <v>17</v>
      </c>
      <c r="C11" s="5">
        <v>1000</v>
      </c>
      <c r="D11" s="6"/>
      <c r="E11" s="3"/>
      <c r="F11" s="7"/>
      <c r="G11" s="8"/>
      <c r="H11" s="9"/>
      <c r="I11" s="9"/>
      <c r="J11" s="9"/>
      <c r="K11" s="5"/>
      <c r="L11" s="3"/>
    </row>
    <row r="12" spans="1:12" s="313" customFormat="1" ht="15" customHeight="1" x14ac:dyDescent="0.2">
      <c r="A12" s="3">
        <v>8</v>
      </c>
      <c r="B12" s="4" t="s">
        <v>18</v>
      </c>
      <c r="C12" s="5">
        <v>1200</v>
      </c>
      <c r="D12" s="6"/>
      <c r="E12" s="3"/>
      <c r="F12" s="7"/>
      <c r="G12" s="8"/>
      <c r="H12" s="9"/>
      <c r="I12" s="9"/>
      <c r="J12" s="9"/>
      <c r="K12" s="5"/>
      <c r="L12" s="3"/>
    </row>
    <row r="13" spans="1:12" s="313" customFormat="1" ht="15" customHeight="1" x14ac:dyDescent="0.2">
      <c r="A13" s="3">
        <v>9</v>
      </c>
      <c r="B13" s="4" t="s">
        <v>19</v>
      </c>
      <c r="C13" s="5">
        <v>700</v>
      </c>
      <c r="D13" s="6"/>
      <c r="E13" s="3"/>
      <c r="F13" s="7"/>
      <c r="G13" s="8"/>
      <c r="H13" s="9"/>
      <c r="I13" s="9"/>
      <c r="J13" s="9"/>
      <c r="K13" s="5"/>
      <c r="L13" s="3"/>
    </row>
    <row r="14" spans="1:12" s="313" customFormat="1" ht="15" customHeight="1" x14ac:dyDescent="0.2">
      <c r="A14" s="3">
        <v>10</v>
      </c>
      <c r="B14" s="4" t="s">
        <v>20</v>
      </c>
      <c r="C14" s="5">
        <v>1000</v>
      </c>
      <c r="D14" s="6"/>
      <c r="E14" s="3"/>
      <c r="F14" s="7"/>
      <c r="G14" s="8"/>
      <c r="H14" s="9"/>
      <c r="I14" s="9"/>
      <c r="J14" s="9"/>
      <c r="K14" s="5"/>
      <c r="L14" s="3"/>
    </row>
    <row r="15" spans="1:12" s="313" customFormat="1" ht="15" customHeight="1" x14ac:dyDescent="0.2">
      <c r="A15" s="3">
        <v>11</v>
      </c>
      <c r="B15" s="4" t="s">
        <v>21</v>
      </c>
      <c r="C15" s="5">
        <v>300</v>
      </c>
      <c r="D15" s="6"/>
      <c r="E15" s="3"/>
      <c r="F15" s="7"/>
      <c r="G15" s="8"/>
      <c r="H15" s="9"/>
      <c r="I15" s="9"/>
      <c r="J15" s="9"/>
      <c r="K15" s="5"/>
      <c r="L15" s="3"/>
    </row>
    <row r="16" spans="1:12" s="313" customFormat="1" ht="15" customHeight="1" x14ac:dyDescent="0.2">
      <c r="A16" s="3">
        <v>12</v>
      </c>
      <c r="B16" s="4" t="s">
        <v>22</v>
      </c>
      <c r="C16" s="5">
        <v>1200</v>
      </c>
      <c r="D16" s="6"/>
      <c r="E16" s="3"/>
      <c r="F16" s="7"/>
      <c r="G16" s="8"/>
      <c r="H16" s="9"/>
      <c r="I16" s="9"/>
      <c r="J16" s="9"/>
      <c r="K16" s="5"/>
      <c r="L16" s="3"/>
    </row>
    <row r="17" spans="1:12" s="313" customFormat="1" ht="15" customHeight="1" x14ac:dyDescent="0.2">
      <c r="A17" s="3">
        <v>13</v>
      </c>
      <c r="B17" s="4" t="s">
        <v>23</v>
      </c>
      <c r="C17" s="5">
        <v>500</v>
      </c>
      <c r="D17" s="6"/>
      <c r="E17" s="3"/>
      <c r="F17" s="7"/>
      <c r="G17" s="8"/>
      <c r="H17" s="9"/>
      <c r="I17" s="9"/>
      <c r="J17" s="9"/>
      <c r="K17" s="5"/>
      <c r="L17" s="3"/>
    </row>
    <row r="18" spans="1:12" s="313" customFormat="1" ht="15" customHeight="1" x14ac:dyDescent="0.2">
      <c r="A18" s="3">
        <v>14</v>
      </c>
      <c r="B18" s="4" t="s">
        <v>24</v>
      </c>
      <c r="C18" s="5">
        <v>400</v>
      </c>
      <c r="D18" s="6"/>
      <c r="E18" s="3"/>
      <c r="F18" s="7"/>
      <c r="G18" s="8"/>
      <c r="H18" s="9"/>
      <c r="I18" s="9"/>
      <c r="J18" s="9"/>
      <c r="K18" s="5"/>
      <c r="L18" s="3"/>
    </row>
    <row r="19" spans="1:12" s="313" customFormat="1" ht="15" customHeight="1" x14ac:dyDescent="0.2">
      <c r="A19" s="3">
        <v>15</v>
      </c>
      <c r="B19" s="4" t="s">
        <v>25</v>
      </c>
      <c r="C19" s="5">
        <v>700</v>
      </c>
      <c r="D19" s="6"/>
      <c r="E19" s="3"/>
      <c r="F19" s="7"/>
      <c r="G19" s="8"/>
      <c r="H19" s="9"/>
      <c r="I19" s="9"/>
      <c r="J19" s="9"/>
      <c r="K19" s="5"/>
      <c r="L19" s="3"/>
    </row>
    <row r="20" spans="1:12" s="313" customFormat="1" ht="15" customHeight="1" x14ac:dyDescent="0.2">
      <c r="A20" s="415" t="s">
        <v>525</v>
      </c>
      <c r="B20" s="416"/>
      <c r="C20" s="416"/>
      <c r="D20" s="416"/>
      <c r="E20" s="416"/>
      <c r="F20" s="380"/>
      <c r="G20" s="380"/>
      <c r="H20" s="380"/>
      <c r="I20" s="380"/>
      <c r="J20" s="380"/>
      <c r="K20" s="380"/>
      <c r="L20" s="381"/>
    </row>
    <row r="21" spans="1:12" s="313" customFormat="1" ht="15" customHeight="1" x14ac:dyDescent="0.2">
      <c r="A21" s="3">
        <v>1</v>
      </c>
      <c r="B21" s="4"/>
      <c r="C21" s="5"/>
      <c r="D21" s="5"/>
      <c r="E21" s="5"/>
      <c r="F21" s="11"/>
      <c r="G21" s="8"/>
      <c r="H21" s="9"/>
      <c r="I21" s="9"/>
      <c r="J21" s="9"/>
      <c r="K21" s="5"/>
      <c r="L21" s="5"/>
    </row>
    <row r="22" spans="1:12" s="313" customFormat="1" ht="15" customHeight="1" x14ac:dyDescent="0.2">
      <c r="A22" s="3">
        <v>2</v>
      </c>
      <c r="B22" s="12"/>
      <c r="C22" s="5"/>
      <c r="D22" s="13"/>
      <c r="E22" s="5"/>
      <c r="F22" s="11"/>
      <c r="G22" s="8"/>
      <c r="H22" s="9"/>
      <c r="I22" s="9"/>
      <c r="J22" s="9"/>
      <c r="K22" s="5"/>
      <c r="L22" s="5"/>
    </row>
    <row r="23" spans="1:12" s="313" customFormat="1" ht="15" customHeight="1" x14ac:dyDescent="0.2">
      <c r="A23" s="3" t="s">
        <v>529</v>
      </c>
      <c r="B23" s="4"/>
      <c r="C23" s="5"/>
      <c r="D23" s="5"/>
      <c r="E23" s="5"/>
      <c r="F23" s="11"/>
      <c r="G23" s="8"/>
      <c r="H23" s="9"/>
      <c r="I23" s="9"/>
      <c r="J23" s="9"/>
      <c r="K23" s="5"/>
      <c r="L23" s="5"/>
    </row>
    <row r="24" spans="1:12" s="313" customFormat="1" ht="15" customHeight="1" x14ac:dyDescent="0.2">
      <c r="A24" s="415" t="s">
        <v>527</v>
      </c>
      <c r="B24" s="416"/>
      <c r="C24" s="416"/>
      <c r="D24" s="416"/>
      <c r="E24" s="416"/>
      <c r="F24" s="380"/>
      <c r="G24" s="380"/>
      <c r="H24" s="380"/>
      <c r="I24" s="380"/>
      <c r="J24" s="380"/>
      <c r="K24" s="380"/>
      <c r="L24" s="380"/>
    </row>
    <row r="25" spans="1:12" s="313" customFormat="1" ht="15" customHeight="1" x14ac:dyDescent="0.2">
      <c r="A25" s="3">
        <v>1</v>
      </c>
      <c r="B25" s="4"/>
      <c r="C25" s="5"/>
      <c r="D25" s="5"/>
      <c r="E25" s="5"/>
      <c r="F25" s="11"/>
      <c r="G25" s="8"/>
      <c r="H25" s="9"/>
      <c r="I25" s="9"/>
      <c r="J25" s="9"/>
      <c r="K25" s="5"/>
      <c r="L25" s="5"/>
    </row>
    <row r="26" spans="1:12" s="313" customFormat="1" ht="15" customHeight="1" x14ac:dyDescent="0.2">
      <c r="A26" s="3">
        <v>2</v>
      </c>
      <c r="B26" s="4"/>
      <c r="C26" s="5"/>
      <c r="D26" s="5"/>
      <c r="E26" s="5"/>
      <c r="F26" s="11"/>
      <c r="G26" s="8"/>
      <c r="H26" s="9"/>
      <c r="I26" s="9"/>
      <c r="J26" s="9"/>
      <c r="K26" s="5"/>
      <c r="L26" s="5"/>
    </row>
    <row r="27" spans="1:12" s="313" customFormat="1" ht="15" customHeight="1" x14ac:dyDescent="0.2">
      <c r="A27" s="3" t="s">
        <v>529</v>
      </c>
      <c r="B27" s="4"/>
      <c r="C27" s="5"/>
      <c r="D27" s="5"/>
      <c r="E27" s="5"/>
      <c r="F27" s="11"/>
      <c r="G27" s="8"/>
      <c r="H27" s="9"/>
      <c r="I27" s="9"/>
      <c r="J27" s="9"/>
      <c r="K27" s="5"/>
      <c r="L27" s="5"/>
    </row>
    <row r="28" spans="1:12" s="313" customFormat="1" ht="15" customHeight="1" x14ac:dyDescent="0.2">
      <c r="A28" s="415" t="s">
        <v>526</v>
      </c>
      <c r="B28" s="416" t="s">
        <v>26</v>
      </c>
      <c r="C28" s="416"/>
      <c r="D28" s="416"/>
      <c r="E28" s="416"/>
      <c r="F28" s="380"/>
      <c r="G28" s="380"/>
      <c r="H28" s="380"/>
      <c r="I28" s="380"/>
      <c r="J28" s="380"/>
      <c r="K28" s="380"/>
      <c r="L28" s="380"/>
    </row>
    <row r="29" spans="1:12" s="313" customFormat="1" ht="15" customHeight="1" x14ac:dyDescent="0.2">
      <c r="A29" s="3">
        <v>1</v>
      </c>
      <c r="B29" s="4"/>
      <c r="C29" s="5"/>
      <c r="D29" s="5"/>
      <c r="E29" s="5"/>
      <c r="F29" s="11"/>
      <c r="G29" s="4"/>
      <c r="H29" s="9"/>
      <c r="I29" s="9"/>
      <c r="J29" s="9"/>
      <c r="K29" s="5"/>
      <c r="L29" s="14"/>
    </row>
    <row r="30" spans="1:12" s="313" customFormat="1" ht="15" customHeight="1" x14ac:dyDescent="0.2">
      <c r="A30" s="3">
        <v>2</v>
      </c>
      <c r="B30" s="15"/>
      <c r="C30" s="5"/>
      <c r="D30" s="5"/>
      <c r="E30" s="5"/>
      <c r="F30" s="11"/>
      <c r="G30" s="8"/>
      <c r="H30" s="9"/>
      <c r="I30" s="9"/>
      <c r="J30" s="9"/>
      <c r="K30" s="5"/>
      <c r="L30" s="5"/>
    </row>
    <row r="31" spans="1:12" s="313" customFormat="1" ht="15" customHeight="1" thickBot="1" x14ac:dyDescent="0.25">
      <c r="A31" s="382" t="s">
        <v>529</v>
      </c>
      <c r="B31" s="383"/>
      <c r="C31" s="384"/>
      <c r="D31" s="384"/>
      <c r="E31" s="384"/>
      <c r="F31" s="385"/>
      <c r="G31" s="386"/>
      <c r="H31" s="387"/>
      <c r="I31" s="387"/>
      <c r="J31" s="387"/>
      <c r="K31" s="5"/>
      <c r="L31" s="5"/>
    </row>
    <row r="32" spans="1:12" s="313" customFormat="1" ht="14.25" customHeight="1" thickBot="1" x14ac:dyDescent="0.25">
      <c r="A32" s="420" t="s">
        <v>524</v>
      </c>
      <c r="B32" s="421"/>
      <c r="C32" s="421"/>
      <c r="D32" s="421"/>
      <c r="E32" s="421"/>
      <c r="F32" s="421"/>
      <c r="G32" s="421"/>
      <c r="H32" s="421"/>
      <c r="I32" s="401"/>
      <c r="J32" s="402"/>
      <c r="K32" s="2"/>
      <c r="L32" s="2"/>
    </row>
    <row r="34" spans="1:12" ht="31.5" customHeight="1" x14ac:dyDescent="0.2">
      <c r="A34" s="407" t="s">
        <v>0</v>
      </c>
      <c r="B34" s="422" t="s">
        <v>1</v>
      </c>
      <c r="C34" s="422"/>
      <c r="D34" s="408" t="s">
        <v>514</v>
      </c>
      <c r="E34" s="409" t="s">
        <v>398</v>
      </c>
      <c r="F34" s="410" t="s">
        <v>515</v>
      </c>
      <c r="G34" s="411" t="s">
        <v>6</v>
      </c>
      <c r="H34" s="410" t="s">
        <v>516</v>
      </c>
      <c r="I34" s="411" t="s">
        <v>8</v>
      </c>
      <c r="J34" s="411" t="s">
        <v>9</v>
      </c>
      <c r="K34" s="418" t="s">
        <v>520</v>
      </c>
      <c r="L34" s="419"/>
    </row>
    <row r="35" spans="1:12" ht="13.5" thickBot="1" x14ac:dyDescent="0.25">
      <c r="A35" s="423" t="s">
        <v>528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</row>
    <row r="36" spans="1:12" ht="28.5" customHeight="1" thickBot="1" x14ac:dyDescent="0.25">
      <c r="A36" s="388">
        <v>1</v>
      </c>
      <c r="B36" s="424" t="s">
        <v>521</v>
      </c>
      <c r="C36" s="424"/>
      <c r="D36" s="388" t="s">
        <v>517</v>
      </c>
      <c r="E36" s="388">
        <v>36</v>
      </c>
      <c r="F36" s="389"/>
      <c r="G36" s="390"/>
      <c r="H36" s="403"/>
      <c r="I36" s="404"/>
      <c r="J36" s="405"/>
      <c r="K36" s="425"/>
      <c r="L36" s="426"/>
    </row>
    <row r="37" spans="1:12" ht="13.5" thickBot="1" x14ac:dyDescent="0.25">
      <c r="A37" s="391"/>
      <c r="B37" s="392"/>
      <c r="C37" s="392"/>
      <c r="D37" s="392"/>
      <c r="E37" s="392"/>
      <c r="F37" s="393"/>
      <c r="G37" s="392"/>
      <c r="H37" s="393"/>
      <c r="I37" s="395" t="s">
        <v>518</v>
      </c>
      <c r="J37" s="395" t="s">
        <v>519</v>
      </c>
      <c r="K37" s="394"/>
      <c r="L37" s="394"/>
    </row>
    <row r="38" spans="1:12" ht="31.5" customHeight="1" thickBot="1" x14ac:dyDescent="0.25">
      <c r="A38" s="399"/>
      <c r="B38" s="399"/>
      <c r="D38" s="427" t="s">
        <v>523</v>
      </c>
      <c r="E38" s="428"/>
      <c r="F38" s="428"/>
      <c r="G38" s="428"/>
      <c r="H38" s="429"/>
      <c r="I38" s="412"/>
      <c r="J38" s="400"/>
      <c r="K38" s="394"/>
      <c r="L38" s="394"/>
    </row>
    <row r="41" spans="1:12" ht="14.25" x14ac:dyDescent="0.2">
      <c r="E41" s="396" t="s">
        <v>510</v>
      </c>
    </row>
    <row r="42" spans="1:12" ht="14.25" x14ac:dyDescent="0.2">
      <c r="E42" s="396" t="s">
        <v>513</v>
      </c>
    </row>
    <row r="43" spans="1:12" ht="14.25" x14ac:dyDescent="0.2">
      <c r="F43" s="397"/>
      <c r="G43" s="417" t="s">
        <v>511</v>
      </c>
      <c r="H43" s="417"/>
      <c r="I43" s="398" t="s">
        <v>512</v>
      </c>
    </row>
    <row r="44" spans="1:12" ht="14.25" x14ac:dyDescent="0.2">
      <c r="F44" s="397"/>
      <c r="G44" s="397"/>
      <c r="H44" s="397"/>
      <c r="I44" s="397"/>
    </row>
  </sheetData>
  <mergeCells count="14">
    <mergeCell ref="G43:H43"/>
    <mergeCell ref="K34:L34"/>
    <mergeCell ref="A28:E28"/>
    <mergeCell ref="A32:H32"/>
    <mergeCell ref="B34:C34"/>
    <mergeCell ref="A35:L35"/>
    <mergeCell ref="B36:C36"/>
    <mergeCell ref="K36:L36"/>
    <mergeCell ref="D38:H38"/>
    <mergeCell ref="K3:L3"/>
    <mergeCell ref="B1:K1"/>
    <mergeCell ref="A20:E20"/>
    <mergeCell ref="A24:E24"/>
    <mergeCell ref="A4:D4"/>
  </mergeCells>
  <conditionalFormatting sqref="B5:B19">
    <cfRule type="expression" dxfId="2" priority="5" stopIfTrue="1">
      <formula>IF(#REF!&lt;#REF!,1)</formula>
    </cfRule>
  </conditionalFormatting>
  <printOptions horizontalCentered="1"/>
  <pageMargins left="0.19685039370078741" right="0.19685039370078741" top="0.55118110236220474" bottom="0.35433070866141736" header="0.39370078740157483" footer="0.15748031496062992"/>
  <pageSetup paperSize="9" scale="72" fitToWidth="0" fitToHeight="0" orientation="landscape" r:id="rId1"/>
  <headerFooter alignWithMargins="0">
    <oddHeader>&amp;LAdm 12/2024&amp;RZałącznik nr 2 do SWZ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26"/>
  <sheetViews>
    <sheetView workbookViewId="0"/>
  </sheetViews>
  <sheetFormatPr defaultRowHeight="14.25" x14ac:dyDescent="0.2"/>
  <cols>
    <col min="1" max="1" width="12.375" style="235" customWidth="1"/>
    <col min="2" max="2" width="52.75" style="235" customWidth="1"/>
    <col min="3" max="3" width="11" style="22" customWidth="1"/>
    <col min="4" max="4" width="14.875" style="22" customWidth="1"/>
    <col min="5" max="5" width="18.25" style="22" customWidth="1"/>
    <col min="6" max="7" width="10.75" style="22" customWidth="1"/>
    <col min="8" max="8" width="8.75" style="22" customWidth="1"/>
    <col min="9" max="9" width="9.5" style="22" customWidth="1"/>
    <col min="10" max="10" width="8.75" style="242" customWidth="1"/>
    <col min="11" max="11" width="17.125" style="242" customWidth="1"/>
    <col min="12" max="12" width="12.375" style="22" customWidth="1"/>
    <col min="13" max="1024" width="8.5" style="22" customWidth="1"/>
  </cols>
  <sheetData>
    <row r="1" spans="1:256" ht="16.5" customHeight="1" x14ac:dyDescent="0.25">
      <c r="A1" s="17"/>
      <c r="B1" s="18" t="s">
        <v>27</v>
      </c>
      <c r="C1" s="19"/>
      <c r="D1" s="19"/>
      <c r="E1" s="20"/>
      <c r="F1" s="19"/>
      <c r="G1" s="19"/>
      <c r="H1" s="19"/>
      <c r="I1" s="19"/>
      <c r="J1" s="21"/>
      <c r="K1" s="21"/>
    </row>
    <row r="2" spans="1:256" ht="19.899999999999999" customHeight="1" x14ac:dyDescent="0.25">
      <c r="A2" s="23" t="s">
        <v>28</v>
      </c>
      <c r="B2" s="24" t="s">
        <v>29</v>
      </c>
      <c r="C2" s="25" t="s">
        <v>30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5" t="s">
        <v>35</v>
      </c>
      <c r="J2" s="26" t="s">
        <v>36</v>
      </c>
      <c r="K2" s="26" t="s">
        <v>37</v>
      </c>
    </row>
    <row r="3" spans="1:256" ht="19.899999999999999" customHeight="1" thickBot="1" x14ac:dyDescent="0.3">
      <c r="A3" s="27"/>
      <c r="B3" s="28"/>
      <c r="C3" s="29" t="s">
        <v>38</v>
      </c>
      <c r="D3" s="30" t="s">
        <v>39</v>
      </c>
      <c r="E3" s="30" t="s">
        <v>40</v>
      </c>
      <c r="F3" s="31" t="s">
        <v>41</v>
      </c>
      <c r="G3" s="31" t="s">
        <v>42</v>
      </c>
      <c r="H3" s="31" t="s">
        <v>43</v>
      </c>
      <c r="I3" s="31" t="s">
        <v>44</v>
      </c>
      <c r="J3" s="32" t="s">
        <v>45</v>
      </c>
      <c r="K3" s="33" t="s">
        <v>46</v>
      </c>
    </row>
    <row r="4" spans="1:256" ht="19.899999999999999" customHeight="1" thickTop="1" x14ac:dyDescent="0.25">
      <c r="A4" s="34">
        <v>33820</v>
      </c>
      <c r="B4" s="34" t="s">
        <v>47</v>
      </c>
      <c r="C4" s="35" t="e">
        <f>sheet1 #REF!</f>
        <v>#NAME?</v>
      </c>
      <c r="D4" s="35" t="e">
        <f t="shared" ref="D4:D35" si="0">IF(increase=0,ROUND(C4*1,0),ROUND(C4+C4*(increase/100),0))</f>
        <v>#NAME?</v>
      </c>
      <c r="E4" s="35" t="e">
        <f>IF(D4&gt;0,ROUND(D4*((rerun)+1)+(cont*365),0),ROUND(D4,0))</f>
        <v>#NAME?</v>
      </c>
      <c r="F4" s="35" t="e">
        <f t="shared" ref="F4:F35" si="1">ABS(E4-D4)</f>
        <v>#NAME?</v>
      </c>
      <c r="G4" s="36">
        <v>200</v>
      </c>
      <c r="H4" s="35" t="e">
        <f t="shared" ref="H4:H35" si="2">ROUND((E4/G4+0.499999),0)</f>
        <v>#NAME?</v>
      </c>
      <c r="I4" s="36">
        <v>6</v>
      </c>
      <c r="J4" s="37"/>
      <c r="K4" s="37" t="e">
        <f t="shared" ref="K4:K35" si="3">H4*J4</f>
        <v>#NAME?</v>
      </c>
    </row>
    <row r="5" spans="1:256" ht="19.899999999999999" customHeight="1" x14ac:dyDescent="0.25">
      <c r="A5" s="34">
        <v>33800</v>
      </c>
      <c r="B5" s="34" t="s">
        <v>48</v>
      </c>
      <c r="C5" s="35" t="e">
        <f>sheet1 #REF!</f>
        <v>#NAME?</v>
      </c>
      <c r="D5" s="35" t="e">
        <f t="shared" si="0"/>
        <v>#NAME?</v>
      </c>
      <c r="E5" s="35" t="e">
        <f t="shared" ref="E5:E50" si="4">IF(D5&gt;0,ROUND(D5*((rerun/100)+1)+(cont*365),0),ROUND(D5,0))</f>
        <v>#NAME?</v>
      </c>
      <c r="F5" s="35" t="e">
        <f t="shared" si="1"/>
        <v>#NAME?</v>
      </c>
      <c r="G5" s="36">
        <v>100</v>
      </c>
      <c r="H5" s="35" t="e">
        <f t="shared" si="2"/>
        <v>#NAME?</v>
      </c>
      <c r="I5" s="36">
        <v>12</v>
      </c>
      <c r="J5" s="37"/>
      <c r="K5" s="37" t="e">
        <f t="shared" si="3"/>
        <v>#NAME?</v>
      </c>
    </row>
    <row r="6" spans="1:256" ht="19.899999999999999" customHeight="1" x14ac:dyDescent="0.25">
      <c r="A6" s="34">
        <v>33830</v>
      </c>
      <c r="B6" s="34" t="s">
        <v>49</v>
      </c>
      <c r="C6" s="35" t="e">
        <f>sheet1 #REF!</f>
        <v>#NAME?</v>
      </c>
      <c r="D6" s="35" t="e">
        <f t="shared" si="0"/>
        <v>#NAME?</v>
      </c>
      <c r="E6" s="35" t="e">
        <f t="shared" si="4"/>
        <v>#NAME?</v>
      </c>
      <c r="F6" s="35" t="e">
        <f t="shared" si="1"/>
        <v>#NAME?</v>
      </c>
      <c r="G6" s="36">
        <v>100</v>
      </c>
      <c r="H6" s="35" t="e">
        <f t="shared" si="2"/>
        <v>#NAME?</v>
      </c>
      <c r="I6" s="36">
        <v>6</v>
      </c>
      <c r="J6" s="38"/>
      <c r="K6" s="38" t="e">
        <f t="shared" si="3"/>
        <v>#NAME?</v>
      </c>
    </row>
    <row r="7" spans="1:256" ht="19.899999999999999" customHeight="1" x14ac:dyDescent="0.25">
      <c r="A7" s="34">
        <v>33810</v>
      </c>
      <c r="B7" s="34" t="s">
        <v>50</v>
      </c>
      <c r="C7" s="35" t="e">
        <f>sheet1 #REF!</f>
        <v>#NAME?</v>
      </c>
      <c r="D7" s="35" t="e">
        <f t="shared" si="0"/>
        <v>#NAME?</v>
      </c>
      <c r="E7" s="35" t="e">
        <f t="shared" si="4"/>
        <v>#NAME?</v>
      </c>
      <c r="F7" s="35" t="e">
        <f t="shared" si="1"/>
        <v>#NAME?</v>
      </c>
      <c r="G7" s="36">
        <v>100</v>
      </c>
      <c r="H7" s="35" t="e">
        <f t="shared" si="2"/>
        <v>#NAME?</v>
      </c>
      <c r="I7" s="36">
        <v>6</v>
      </c>
      <c r="J7" s="38"/>
      <c r="K7" s="38" t="e">
        <f t="shared" si="3"/>
        <v>#NAME?</v>
      </c>
    </row>
    <row r="8" spans="1:256" ht="19.899999999999999" customHeight="1" x14ac:dyDescent="0.25">
      <c r="A8" s="34">
        <v>33880</v>
      </c>
      <c r="B8" s="34" t="s">
        <v>51</v>
      </c>
      <c r="C8" s="35" t="e">
        <f>sheet1 #REF!</f>
        <v>#NAME?</v>
      </c>
      <c r="D8" s="35" t="e">
        <f t="shared" si="0"/>
        <v>#NAME?</v>
      </c>
      <c r="E8" s="35" t="e">
        <f t="shared" si="4"/>
        <v>#NAME?</v>
      </c>
      <c r="F8" s="35" t="e">
        <f t="shared" si="1"/>
        <v>#NAME?</v>
      </c>
      <c r="G8" s="36">
        <v>100</v>
      </c>
      <c r="H8" s="35" t="e">
        <f t="shared" si="2"/>
        <v>#NAME?</v>
      </c>
      <c r="I8" s="36">
        <v>6</v>
      </c>
      <c r="J8" s="38"/>
      <c r="K8" s="38" t="e">
        <f t="shared" si="3"/>
        <v>#NAME?</v>
      </c>
    </row>
    <row r="9" spans="1:256" ht="19.899999999999999" customHeight="1" x14ac:dyDescent="0.25">
      <c r="A9" s="34" t="s">
        <v>52</v>
      </c>
      <c r="B9" s="34" t="s">
        <v>53</v>
      </c>
      <c r="C9" s="35" t="e">
        <f>sheet1 #REF!</f>
        <v>#NAME?</v>
      </c>
      <c r="D9" s="35" t="e">
        <f t="shared" si="0"/>
        <v>#NAME?</v>
      </c>
      <c r="E9" s="35" t="e">
        <f t="shared" si="4"/>
        <v>#NAME?</v>
      </c>
      <c r="F9" s="35" t="e">
        <f t="shared" si="1"/>
        <v>#NAME?</v>
      </c>
      <c r="G9" s="36">
        <v>100</v>
      </c>
      <c r="H9" s="35" t="e">
        <f t="shared" si="2"/>
        <v>#NAME?</v>
      </c>
      <c r="I9" s="36">
        <v>6</v>
      </c>
      <c r="J9" s="38"/>
      <c r="K9" s="38" t="e">
        <f t="shared" si="3"/>
        <v>#NAME?</v>
      </c>
    </row>
    <row r="10" spans="1:256" ht="19.899999999999999" customHeight="1" x14ac:dyDescent="0.25">
      <c r="A10" s="34">
        <v>33860</v>
      </c>
      <c r="B10" s="34" t="s">
        <v>54</v>
      </c>
      <c r="C10" s="35" t="e">
        <f>sheet1 #REF!</f>
        <v>#NAME?</v>
      </c>
      <c r="D10" s="35" t="e">
        <f t="shared" si="0"/>
        <v>#NAME?</v>
      </c>
      <c r="E10" s="35" t="e">
        <f t="shared" si="4"/>
        <v>#NAME?</v>
      </c>
      <c r="F10" s="35" t="e">
        <f t="shared" si="1"/>
        <v>#NAME?</v>
      </c>
      <c r="G10" s="36">
        <v>100</v>
      </c>
      <c r="H10" s="35" t="e">
        <f t="shared" si="2"/>
        <v>#NAME?</v>
      </c>
      <c r="I10" s="36">
        <v>6</v>
      </c>
      <c r="J10" s="38"/>
      <c r="K10" s="38" t="e">
        <f t="shared" si="3"/>
        <v>#NAME?</v>
      </c>
    </row>
    <row r="11" spans="1:256" ht="19.899999999999999" customHeight="1" x14ac:dyDescent="0.25">
      <c r="A11" s="34" t="s">
        <v>55</v>
      </c>
      <c r="B11" s="34" t="s">
        <v>56</v>
      </c>
      <c r="C11" s="35" t="e">
        <f>sheet1 #REF!</f>
        <v>#NAME?</v>
      </c>
      <c r="D11" s="35" t="e">
        <f t="shared" si="0"/>
        <v>#NAME?</v>
      </c>
      <c r="E11" s="35" t="e">
        <f t="shared" si="4"/>
        <v>#NAME?</v>
      </c>
      <c r="F11" s="35" t="e">
        <f t="shared" si="1"/>
        <v>#NAME?</v>
      </c>
      <c r="G11" s="36">
        <v>100</v>
      </c>
      <c r="H11" s="35" t="e">
        <f t="shared" si="2"/>
        <v>#NAME?</v>
      </c>
      <c r="I11" s="36">
        <v>3</v>
      </c>
      <c r="J11" s="38"/>
      <c r="K11" s="38" t="e">
        <f t="shared" si="3"/>
        <v>#NAME?</v>
      </c>
      <c r="L11" s="39"/>
      <c r="M11" s="39"/>
      <c r="N11" s="40"/>
      <c r="O11" s="40"/>
      <c r="P11" s="40"/>
      <c r="Q11" s="41"/>
      <c r="R11" s="41"/>
      <c r="S11" s="40"/>
      <c r="T11" s="41"/>
      <c r="U11" s="42"/>
      <c r="V11" s="42"/>
      <c r="W11" s="39"/>
      <c r="X11" s="39"/>
      <c r="Y11" s="40"/>
      <c r="Z11" s="40"/>
      <c r="AA11" s="40"/>
      <c r="AB11" s="41"/>
      <c r="AC11" s="41"/>
      <c r="AD11" s="40"/>
      <c r="AE11" s="41"/>
      <c r="AF11" s="42"/>
      <c r="AG11" s="42"/>
      <c r="AH11" s="39"/>
      <c r="AI11" s="39"/>
      <c r="AJ11" s="40"/>
      <c r="AK11" s="40"/>
      <c r="AL11" s="40"/>
      <c r="AM11" s="41"/>
      <c r="AN11" s="41"/>
      <c r="AO11" s="40"/>
      <c r="AP11" s="41"/>
      <c r="AQ11" s="42"/>
      <c r="AR11" s="42"/>
      <c r="AS11" s="39"/>
      <c r="AT11" s="39"/>
      <c r="AU11" s="40"/>
      <c r="AV11" s="40"/>
      <c r="AW11" s="40"/>
      <c r="AX11" s="41"/>
      <c r="AY11" s="41"/>
      <c r="AZ11" s="40"/>
      <c r="BA11" s="41"/>
      <c r="BB11" s="42"/>
      <c r="BC11" s="42"/>
      <c r="BD11" s="39"/>
      <c r="BE11" s="39"/>
      <c r="BF11" s="40"/>
      <c r="BG11" s="40"/>
      <c r="BH11" s="40"/>
      <c r="BI11" s="41"/>
      <c r="BJ11" s="41"/>
      <c r="BK11" s="40"/>
      <c r="BL11" s="41"/>
      <c r="BM11" s="42"/>
      <c r="BN11" s="42"/>
      <c r="BO11" s="39"/>
      <c r="BP11" s="39"/>
      <c r="BQ11" s="40"/>
      <c r="BR11" s="40"/>
      <c r="BS11" s="40"/>
      <c r="BT11" s="41"/>
      <c r="BU11" s="41"/>
      <c r="BV11" s="40"/>
      <c r="BW11" s="41"/>
      <c r="BX11" s="42"/>
      <c r="BY11" s="42"/>
      <c r="BZ11" s="39"/>
      <c r="CA11" s="39"/>
      <c r="CB11" s="40"/>
      <c r="CC11" s="40"/>
      <c r="CD11" s="40"/>
      <c r="CE11" s="41"/>
      <c r="CF11" s="41"/>
      <c r="CG11" s="40"/>
      <c r="CH11" s="41"/>
      <c r="CI11" s="42"/>
      <c r="CJ11" s="42"/>
      <c r="CK11" s="39"/>
      <c r="CL11" s="39"/>
      <c r="CM11" s="40"/>
      <c r="CN11" s="40"/>
      <c r="CO11" s="40"/>
      <c r="CP11" s="41"/>
      <c r="CQ11" s="41"/>
      <c r="CR11" s="40"/>
      <c r="CS11" s="41"/>
      <c r="CT11" s="42"/>
      <c r="CU11" s="42"/>
      <c r="CV11" s="39"/>
      <c r="CW11" s="39"/>
      <c r="CX11" s="40"/>
      <c r="CY11" s="40"/>
      <c r="CZ11" s="40"/>
      <c r="DA11" s="41"/>
      <c r="DB11" s="41"/>
      <c r="DC11" s="40"/>
      <c r="DD11" s="41"/>
      <c r="DE11" s="42"/>
      <c r="DF11" s="42"/>
      <c r="DG11" s="39"/>
      <c r="DH11" s="39"/>
      <c r="DI11" s="40"/>
      <c r="DJ11" s="40"/>
      <c r="DK11" s="40"/>
      <c r="DL11" s="41"/>
      <c r="DM11" s="41"/>
      <c r="DN11" s="40"/>
      <c r="DO11" s="41"/>
      <c r="DP11" s="42"/>
      <c r="DQ11" s="42"/>
      <c r="DR11" s="39"/>
      <c r="DS11" s="39"/>
      <c r="DT11" s="40"/>
      <c r="DU11" s="40"/>
      <c r="DV11" s="40"/>
      <c r="DW11" s="41"/>
      <c r="DX11" s="41"/>
      <c r="DY11" s="40"/>
      <c r="DZ11" s="41"/>
      <c r="EA11" s="42"/>
      <c r="EB11" s="42"/>
      <c r="EC11" s="39"/>
      <c r="ED11" s="39"/>
      <c r="EE11" s="40"/>
      <c r="EF11" s="40"/>
      <c r="EG11" s="40"/>
      <c r="EH11" s="41"/>
      <c r="EI11" s="41"/>
      <c r="EJ11" s="40"/>
      <c r="EK11" s="41"/>
      <c r="EL11" s="42"/>
      <c r="EM11" s="42"/>
      <c r="EN11" s="39"/>
      <c r="EO11" s="39"/>
      <c r="EP11" s="40"/>
      <c r="EQ11" s="40"/>
      <c r="ER11" s="40"/>
      <c r="ES11" s="41"/>
      <c r="ET11" s="41"/>
      <c r="EU11" s="40"/>
      <c r="EV11" s="41"/>
      <c r="EW11" s="42"/>
      <c r="EX11" s="42"/>
      <c r="EY11" s="39"/>
      <c r="EZ11" s="39"/>
      <c r="FA11" s="40"/>
      <c r="FB11" s="40"/>
      <c r="FC11" s="40"/>
      <c r="FD11" s="41"/>
      <c r="FE11" s="41"/>
      <c r="FF11" s="40"/>
      <c r="FG11" s="41"/>
      <c r="FH11" s="42"/>
      <c r="FI11" s="42"/>
      <c r="FJ11" s="39"/>
      <c r="FK11" s="39"/>
      <c r="FL11" s="40"/>
      <c r="FM11" s="40"/>
      <c r="FN11" s="40"/>
      <c r="FO11" s="41"/>
      <c r="FP11" s="41"/>
      <c r="FQ11" s="40"/>
      <c r="FR11" s="41"/>
      <c r="FS11" s="42"/>
      <c r="FT11" s="42"/>
      <c r="FU11" s="39"/>
      <c r="FV11" s="39"/>
      <c r="FW11" s="40"/>
      <c r="FX11" s="40"/>
      <c r="FY11" s="40"/>
      <c r="FZ11" s="41"/>
      <c r="GA11" s="41"/>
      <c r="GB11" s="40"/>
      <c r="GC11" s="41"/>
      <c r="GD11" s="42"/>
      <c r="GE11" s="42"/>
      <c r="GF11" s="39"/>
      <c r="GG11" s="39"/>
      <c r="GH11" s="40"/>
      <c r="GI11" s="40"/>
      <c r="GJ11" s="40"/>
      <c r="GK11" s="41"/>
      <c r="GL11" s="41"/>
      <c r="GM11" s="40"/>
      <c r="GN11" s="41"/>
      <c r="GO11" s="42"/>
      <c r="GP11" s="42"/>
      <c r="GQ11" s="39"/>
      <c r="GR11" s="39"/>
      <c r="GS11" s="40"/>
      <c r="GT11" s="40"/>
      <c r="GU11" s="40"/>
      <c r="GV11" s="41"/>
      <c r="GW11" s="41"/>
      <c r="GX11" s="40"/>
      <c r="GY11" s="41"/>
      <c r="GZ11" s="42"/>
      <c r="HA11" s="42"/>
      <c r="HB11" s="39"/>
      <c r="HC11" s="39"/>
      <c r="HD11" s="40"/>
      <c r="HE11" s="40"/>
      <c r="HF11" s="40"/>
      <c r="HG11" s="41"/>
      <c r="HH11" s="41"/>
      <c r="HI11" s="40"/>
      <c r="HJ11" s="41"/>
      <c r="HK11" s="42"/>
      <c r="HL11" s="42"/>
      <c r="HM11" s="39"/>
      <c r="HN11" s="39"/>
      <c r="HO11" s="40"/>
      <c r="HP11" s="40"/>
      <c r="HQ11" s="40"/>
      <c r="HR11" s="41"/>
      <c r="HS11" s="41"/>
      <c r="HT11" s="40"/>
      <c r="HU11" s="41"/>
      <c r="HV11" s="42"/>
      <c r="HW11" s="42"/>
      <c r="HX11" s="39"/>
      <c r="HY11" s="39"/>
      <c r="HZ11" s="40"/>
      <c r="IA11" s="40"/>
      <c r="IB11" s="40"/>
      <c r="IC11" s="41"/>
      <c r="ID11" s="41"/>
      <c r="IE11" s="40"/>
      <c r="IF11" s="41"/>
      <c r="IG11" s="42"/>
      <c r="IH11" s="42"/>
      <c r="II11" s="39"/>
      <c r="IJ11" s="39"/>
      <c r="IK11" s="40"/>
      <c r="IL11" s="40"/>
      <c r="IM11" s="40"/>
      <c r="IN11" s="41"/>
      <c r="IO11" s="41"/>
      <c r="IP11" s="40"/>
      <c r="IQ11" s="41"/>
      <c r="IR11" s="42"/>
      <c r="IS11" s="42"/>
      <c r="IT11" s="39"/>
      <c r="IU11" s="39"/>
      <c r="IV11" s="40"/>
    </row>
    <row r="12" spans="1:256" ht="19.899999999999999" customHeight="1" x14ac:dyDescent="0.25">
      <c r="A12" s="43" t="s">
        <v>57</v>
      </c>
      <c r="B12" s="44" t="s">
        <v>58</v>
      </c>
      <c r="C12" s="35" t="e">
        <f>sheet1 #REF!</f>
        <v>#NAME?</v>
      </c>
      <c r="D12" s="35" t="e">
        <f t="shared" si="0"/>
        <v>#NAME?</v>
      </c>
      <c r="E12" s="35" t="e">
        <f t="shared" si="4"/>
        <v>#NAME?</v>
      </c>
      <c r="F12" s="35" t="e">
        <f t="shared" si="1"/>
        <v>#NAME?</v>
      </c>
      <c r="G12" s="36">
        <v>100</v>
      </c>
      <c r="H12" s="35" t="e">
        <f t="shared" si="2"/>
        <v>#NAME?</v>
      </c>
      <c r="I12" s="36">
        <v>6</v>
      </c>
      <c r="J12" s="38"/>
      <c r="K12" s="38" t="e">
        <f t="shared" si="3"/>
        <v>#NAME?</v>
      </c>
      <c r="L12" s="39"/>
      <c r="M12" s="39"/>
      <c r="N12" s="40"/>
      <c r="O12" s="40"/>
      <c r="P12" s="40"/>
      <c r="Q12" s="41"/>
      <c r="R12" s="41"/>
      <c r="S12" s="40"/>
      <c r="T12" s="41"/>
      <c r="U12" s="42"/>
      <c r="V12" s="42"/>
      <c r="W12" s="39"/>
      <c r="X12" s="39"/>
      <c r="Y12" s="40"/>
      <c r="Z12" s="40"/>
      <c r="AA12" s="40"/>
      <c r="AB12" s="41"/>
      <c r="AC12" s="41"/>
      <c r="AD12" s="40"/>
      <c r="AE12" s="41"/>
      <c r="AF12" s="42"/>
      <c r="AG12" s="42"/>
      <c r="AH12" s="39"/>
      <c r="AI12" s="39"/>
      <c r="AJ12" s="40"/>
      <c r="AK12" s="40"/>
      <c r="AL12" s="40"/>
      <c r="AM12" s="41"/>
      <c r="AN12" s="41"/>
      <c r="AO12" s="40"/>
      <c r="AP12" s="41"/>
      <c r="AQ12" s="42"/>
      <c r="AR12" s="42"/>
      <c r="AS12" s="39"/>
      <c r="AT12" s="39"/>
      <c r="AU12" s="40"/>
      <c r="AV12" s="40"/>
      <c r="AW12" s="40"/>
      <c r="AX12" s="41"/>
      <c r="AY12" s="41"/>
      <c r="AZ12" s="40"/>
      <c r="BA12" s="41"/>
      <c r="BB12" s="42"/>
      <c r="BC12" s="42"/>
      <c r="BD12" s="39"/>
      <c r="BE12" s="39"/>
      <c r="BF12" s="40"/>
      <c r="BG12" s="40"/>
      <c r="BH12" s="40"/>
      <c r="BI12" s="41"/>
      <c r="BJ12" s="41"/>
      <c r="BK12" s="40"/>
      <c r="BL12" s="41"/>
      <c r="BM12" s="42"/>
      <c r="BN12" s="42"/>
      <c r="BO12" s="39"/>
      <c r="BP12" s="39"/>
      <c r="BQ12" s="40"/>
      <c r="BR12" s="40"/>
      <c r="BS12" s="40"/>
      <c r="BT12" s="41"/>
      <c r="BU12" s="41"/>
      <c r="BV12" s="40"/>
      <c r="BW12" s="41"/>
      <c r="BX12" s="42"/>
      <c r="BY12" s="42"/>
      <c r="BZ12" s="39"/>
      <c r="CA12" s="39"/>
      <c r="CB12" s="40"/>
      <c r="CC12" s="40"/>
      <c r="CD12" s="40"/>
      <c r="CE12" s="41"/>
      <c r="CF12" s="41"/>
      <c r="CG12" s="40"/>
      <c r="CH12" s="41"/>
      <c r="CI12" s="42"/>
      <c r="CJ12" s="42"/>
      <c r="CK12" s="39"/>
      <c r="CL12" s="39"/>
      <c r="CM12" s="40"/>
      <c r="CN12" s="40"/>
      <c r="CO12" s="40"/>
      <c r="CP12" s="41"/>
      <c r="CQ12" s="41"/>
      <c r="CR12" s="40"/>
      <c r="CS12" s="41"/>
      <c r="CT12" s="42"/>
      <c r="CU12" s="42"/>
      <c r="CV12" s="39"/>
      <c r="CW12" s="39"/>
      <c r="CX12" s="40"/>
      <c r="CY12" s="40"/>
      <c r="CZ12" s="40"/>
      <c r="DA12" s="41"/>
      <c r="DB12" s="41"/>
      <c r="DC12" s="40"/>
      <c r="DD12" s="41"/>
      <c r="DE12" s="42"/>
      <c r="DF12" s="42"/>
      <c r="DG12" s="39"/>
      <c r="DH12" s="39"/>
      <c r="DI12" s="40"/>
      <c r="DJ12" s="40"/>
      <c r="DK12" s="40"/>
      <c r="DL12" s="41"/>
      <c r="DM12" s="41"/>
      <c r="DN12" s="40"/>
      <c r="DO12" s="41"/>
      <c r="DP12" s="42"/>
      <c r="DQ12" s="42"/>
      <c r="DR12" s="39"/>
      <c r="DS12" s="39"/>
      <c r="DT12" s="40"/>
      <c r="DU12" s="40"/>
      <c r="DV12" s="40"/>
      <c r="DW12" s="41"/>
      <c r="DX12" s="41"/>
      <c r="DY12" s="40"/>
      <c r="DZ12" s="41"/>
      <c r="EA12" s="42"/>
      <c r="EB12" s="42"/>
      <c r="EC12" s="39"/>
      <c r="ED12" s="39"/>
      <c r="EE12" s="40"/>
      <c r="EF12" s="40"/>
      <c r="EG12" s="40"/>
      <c r="EH12" s="41"/>
      <c r="EI12" s="41"/>
      <c r="EJ12" s="40"/>
      <c r="EK12" s="41"/>
      <c r="EL12" s="42"/>
      <c r="EM12" s="42"/>
      <c r="EN12" s="39"/>
      <c r="EO12" s="39"/>
      <c r="EP12" s="40"/>
      <c r="EQ12" s="40"/>
      <c r="ER12" s="40"/>
      <c r="ES12" s="41"/>
      <c r="ET12" s="41"/>
      <c r="EU12" s="40"/>
      <c r="EV12" s="41"/>
      <c r="EW12" s="42"/>
      <c r="EX12" s="42"/>
      <c r="EY12" s="39"/>
      <c r="EZ12" s="39"/>
      <c r="FA12" s="40"/>
      <c r="FB12" s="40"/>
      <c r="FC12" s="40"/>
      <c r="FD12" s="41"/>
      <c r="FE12" s="41"/>
      <c r="FF12" s="40"/>
      <c r="FG12" s="41"/>
      <c r="FH12" s="42"/>
      <c r="FI12" s="42"/>
      <c r="FJ12" s="39"/>
      <c r="FK12" s="39"/>
      <c r="FL12" s="40"/>
      <c r="FM12" s="40"/>
      <c r="FN12" s="40"/>
      <c r="FO12" s="41"/>
      <c r="FP12" s="41"/>
      <c r="FQ12" s="40"/>
      <c r="FR12" s="41"/>
      <c r="FS12" s="42"/>
      <c r="FT12" s="42"/>
      <c r="FU12" s="39"/>
      <c r="FV12" s="39"/>
      <c r="FW12" s="40"/>
      <c r="FX12" s="40"/>
      <c r="FY12" s="40"/>
      <c r="FZ12" s="41"/>
      <c r="GA12" s="41"/>
      <c r="GB12" s="40"/>
      <c r="GC12" s="41"/>
      <c r="GD12" s="42"/>
      <c r="GE12" s="42"/>
      <c r="GF12" s="39"/>
      <c r="GG12" s="39"/>
      <c r="GH12" s="40"/>
      <c r="GI12" s="40"/>
      <c r="GJ12" s="40"/>
      <c r="GK12" s="41"/>
      <c r="GL12" s="41"/>
      <c r="GM12" s="40"/>
      <c r="GN12" s="41"/>
      <c r="GO12" s="42"/>
      <c r="GP12" s="42"/>
      <c r="GQ12" s="39"/>
      <c r="GR12" s="39"/>
      <c r="GS12" s="40"/>
      <c r="GT12" s="40"/>
      <c r="GU12" s="40"/>
      <c r="GV12" s="41"/>
      <c r="GW12" s="41"/>
      <c r="GX12" s="40"/>
      <c r="GY12" s="41"/>
      <c r="GZ12" s="42"/>
      <c r="HA12" s="42"/>
      <c r="HB12" s="39"/>
      <c r="HC12" s="39"/>
      <c r="HD12" s="40"/>
      <c r="HE12" s="40"/>
      <c r="HF12" s="40"/>
      <c r="HG12" s="41"/>
      <c r="HH12" s="41"/>
      <c r="HI12" s="40"/>
      <c r="HJ12" s="41"/>
      <c r="HK12" s="42"/>
      <c r="HL12" s="42"/>
      <c r="HM12" s="39"/>
      <c r="HN12" s="39"/>
      <c r="HO12" s="40"/>
      <c r="HP12" s="40"/>
      <c r="HQ12" s="40"/>
      <c r="HR12" s="41"/>
      <c r="HS12" s="41"/>
      <c r="HT12" s="40"/>
      <c r="HU12" s="41"/>
      <c r="HV12" s="42"/>
      <c r="HW12" s="42"/>
      <c r="HX12" s="39"/>
      <c r="HY12" s="39"/>
      <c r="HZ12" s="40"/>
      <c r="IA12" s="40"/>
      <c r="IB12" s="40"/>
      <c r="IC12" s="41"/>
      <c r="ID12" s="41"/>
      <c r="IE12" s="40"/>
      <c r="IF12" s="41"/>
      <c r="IG12" s="42"/>
      <c r="IH12" s="42"/>
      <c r="II12" s="39"/>
      <c r="IJ12" s="39"/>
      <c r="IK12" s="40"/>
      <c r="IL12" s="40"/>
      <c r="IM12" s="40"/>
      <c r="IN12" s="41"/>
      <c r="IO12" s="41"/>
      <c r="IP12" s="40"/>
      <c r="IQ12" s="41"/>
      <c r="IR12" s="42"/>
      <c r="IS12" s="42"/>
      <c r="IT12" s="39"/>
      <c r="IU12" s="39"/>
      <c r="IV12" s="40"/>
    </row>
    <row r="13" spans="1:256" s="53" customFormat="1" ht="19.899999999999999" customHeight="1" x14ac:dyDescent="0.2">
      <c r="A13" s="45">
        <v>35000</v>
      </c>
      <c r="B13" s="45" t="s">
        <v>59</v>
      </c>
      <c r="C13" s="35" t="e">
        <f>sheet1 #REF!</f>
        <v>#NAME?</v>
      </c>
      <c r="D13" s="46" t="e">
        <f t="shared" si="0"/>
        <v>#NAME?</v>
      </c>
      <c r="E13" s="46" t="e">
        <f t="shared" si="4"/>
        <v>#NAME?</v>
      </c>
      <c r="F13" s="46" t="e">
        <f t="shared" si="1"/>
        <v>#NAME?</v>
      </c>
      <c r="G13" s="47">
        <v>100</v>
      </c>
      <c r="H13" s="46" t="e">
        <f t="shared" si="2"/>
        <v>#NAME?</v>
      </c>
      <c r="I13" s="47">
        <v>6</v>
      </c>
      <c r="J13" s="48"/>
      <c r="K13" s="48" t="e">
        <f t="shared" si="3"/>
        <v>#NAME?</v>
      </c>
      <c r="L13" s="49"/>
      <c r="M13" s="49"/>
      <c r="N13" s="50"/>
      <c r="O13" s="50"/>
      <c r="P13" s="50"/>
      <c r="Q13" s="51"/>
      <c r="R13" s="51"/>
      <c r="S13" s="50"/>
      <c r="T13" s="51"/>
      <c r="U13" s="52"/>
      <c r="V13" s="52"/>
      <c r="W13" s="49"/>
      <c r="X13" s="49"/>
      <c r="Y13" s="50"/>
      <c r="Z13" s="50"/>
      <c r="AA13" s="50"/>
      <c r="AB13" s="51"/>
      <c r="AC13" s="51"/>
      <c r="AD13" s="50"/>
      <c r="AE13" s="51"/>
      <c r="AF13" s="52"/>
      <c r="AG13" s="52"/>
      <c r="AH13" s="49"/>
      <c r="AI13" s="49"/>
      <c r="AJ13" s="50"/>
      <c r="AK13" s="50"/>
      <c r="AL13" s="50"/>
      <c r="AM13" s="51"/>
      <c r="AN13" s="51"/>
      <c r="AO13" s="50"/>
      <c r="AP13" s="51"/>
      <c r="AQ13" s="52"/>
      <c r="AR13" s="52"/>
      <c r="AS13" s="49"/>
      <c r="AT13" s="49"/>
      <c r="AU13" s="50"/>
      <c r="AV13" s="50"/>
      <c r="AW13" s="50"/>
      <c r="AX13" s="51"/>
      <c r="AY13" s="51"/>
      <c r="AZ13" s="50"/>
      <c r="BA13" s="51"/>
      <c r="BB13" s="52"/>
      <c r="BC13" s="52"/>
      <c r="BD13" s="49"/>
      <c r="BE13" s="49"/>
      <c r="BF13" s="50"/>
      <c r="BG13" s="50"/>
      <c r="BH13" s="50"/>
      <c r="BI13" s="51"/>
      <c r="BJ13" s="51"/>
      <c r="BK13" s="50"/>
      <c r="BL13" s="51"/>
      <c r="BM13" s="52"/>
      <c r="BN13" s="52"/>
      <c r="BO13" s="49"/>
      <c r="BP13" s="49"/>
      <c r="BQ13" s="50"/>
      <c r="BR13" s="50"/>
      <c r="BS13" s="50"/>
      <c r="BT13" s="51"/>
      <c r="BU13" s="51"/>
      <c r="BV13" s="50"/>
      <c r="BW13" s="51"/>
      <c r="BX13" s="52"/>
      <c r="BY13" s="52"/>
      <c r="BZ13" s="49"/>
      <c r="CA13" s="49"/>
      <c r="CB13" s="50"/>
      <c r="CC13" s="50"/>
      <c r="CD13" s="50"/>
      <c r="CE13" s="51"/>
      <c r="CF13" s="51"/>
      <c r="CG13" s="50"/>
      <c r="CH13" s="51"/>
      <c r="CI13" s="52"/>
      <c r="CJ13" s="52"/>
      <c r="CK13" s="49"/>
      <c r="CL13" s="49"/>
      <c r="CM13" s="50"/>
      <c r="CN13" s="50"/>
      <c r="CO13" s="50"/>
      <c r="CP13" s="51"/>
      <c r="CQ13" s="51"/>
      <c r="CR13" s="50"/>
      <c r="CS13" s="51"/>
      <c r="CT13" s="52"/>
      <c r="CU13" s="52"/>
      <c r="CV13" s="49"/>
      <c r="CW13" s="49"/>
      <c r="CX13" s="50"/>
      <c r="CY13" s="50"/>
      <c r="CZ13" s="50"/>
      <c r="DA13" s="51"/>
      <c r="DB13" s="51"/>
      <c r="DC13" s="50"/>
      <c r="DD13" s="51"/>
      <c r="DE13" s="52"/>
      <c r="DF13" s="52"/>
      <c r="DG13" s="49"/>
      <c r="DH13" s="49"/>
      <c r="DI13" s="50"/>
      <c r="DJ13" s="50"/>
      <c r="DK13" s="50"/>
      <c r="DL13" s="51"/>
      <c r="DM13" s="51"/>
      <c r="DN13" s="50"/>
      <c r="DO13" s="51"/>
      <c r="DP13" s="52"/>
      <c r="DQ13" s="52"/>
      <c r="DR13" s="49"/>
      <c r="DS13" s="49"/>
      <c r="DT13" s="50"/>
      <c r="DU13" s="50"/>
      <c r="DV13" s="50"/>
      <c r="DW13" s="51"/>
      <c r="DX13" s="51"/>
      <c r="DY13" s="50"/>
      <c r="DZ13" s="51"/>
      <c r="EA13" s="52"/>
      <c r="EB13" s="52"/>
      <c r="EC13" s="49"/>
      <c r="ED13" s="49"/>
      <c r="EE13" s="50"/>
      <c r="EF13" s="50"/>
      <c r="EG13" s="50"/>
      <c r="EH13" s="51"/>
      <c r="EI13" s="51"/>
      <c r="EJ13" s="50"/>
      <c r="EK13" s="51"/>
      <c r="EL13" s="52"/>
      <c r="EM13" s="52"/>
      <c r="EN13" s="49"/>
      <c r="EO13" s="49"/>
      <c r="EP13" s="50"/>
      <c r="EQ13" s="50"/>
      <c r="ER13" s="50"/>
      <c r="ES13" s="51"/>
      <c r="ET13" s="51"/>
      <c r="EU13" s="50"/>
      <c r="EV13" s="51"/>
      <c r="EW13" s="52"/>
      <c r="EX13" s="52"/>
      <c r="EY13" s="49"/>
      <c r="EZ13" s="49"/>
      <c r="FA13" s="50"/>
      <c r="FB13" s="50"/>
      <c r="FC13" s="50"/>
      <c r="FD13" s="51"/>
      <c r="FE13" s="51"/>
      <c r="FF13" s="50"/>
      <c r="FG13" s="51"/>
      <c r="FH13" s="52"/>
      <c r="FI13" s="52"/>
      <c r="FJ13" s="49"/>
      <c r="FK13" s="49"/>
      <c r="FL13" s="50"/>
      <c r="FM13" s="50"/>
      <c r="FN13" s="50"/>
      <c r="FO13" s="51"/>
      <c r="FP13" s="51"/>
      <c r="FQ13" s="50"/>
      <c r="FR13" s="51"/>
      <c r="FS13" s="52"/>
      <c r="FT13" s="52"/>
      <c r="FU13" s="49"/>
      <c r="FV13" s="49"/>
      <c r="FW13" s="50"/>
      <c r="FX13" s="50"/>
      <c r="FY13" s="50"/>
      <c r="FZ13" s="51"/>
      <c r="GA13" s="51"/>
      <c r="GB13" s="50"/>
      <c r="GC13" s="51"/>
      <c r="GD13" s="52"/>
      <c r="GE13" s="52"/>
      <c r="GF13" s="49"/>
      <c r="GG13" s="49"/>
      <c r="GH13" s="50"/>
      <c r="GI13" s="50"/>
      <c r="GJ13" s="50"/>
      <c r="GK13" s="51"/>
      <c r="GL13" s="51"/>
      <c r="GM13" s="50"/>
      <c r="GN13" s="51"/>
      <c r="GO13" s="52"/>
      <c r="GP13" s="52"/>
      <c r="GQ13" s="49"/>
      <c r="GR13" s="49"/>
      <c r="GS13" s="50"/>
      <c r="GT13" s="50"/>
      <c r="GU13" s="50"/>
      <c r="GV13" s="51"/>
      <c r="GW13" s="51"/>
      <c r="GX13" s="50"/>
      <c r="GY13" s="51"/>
      <c r="GZ13" s="52"/>
      <c r="HA13" s="52"/>
      <c r="HB13" s="49"/>
      <c r="HC13" s="49"/>
      <c r="HD13" s="50"/>
      <c r="HE13" s="50"/>
      <c r="HF13" s="50"/>
      <c r="HG13" s="51"/>
      <c r="HH13" s="51"/>
      <c r="HI13" s="50"/>
      <c r="HJ13" s="51"/>
      <c r="HK13" s="52"/>
      <c r="HL13" s="52"/>
      <c r="HM13" s="49"/>
      <c r="HN13" s="49"/>
      <c r="HO13" s="50"/>
      <c r="HP13" s="50"/>
      <c r="HQ13" s="50"/>
      <c r="HR13" s="51"/>
      <c r="HS13" s="51"/>
      <c r="HT13" s="50"/>
      <c r="HU13" s="51"/>
      <c r="HV13" s="52"/>
      <c r="HW13" s="52"/>
      <c r="HX13" s="49"/>
      <c r="HY13" s="49"/>
      <c r="HZ13" s="50"/>
      <c r="IA13" s="50"/>
      <c r="IB13" s="50"/>
      <c r="IC13" s="51"/>
      <c r="ID13" s="51"/>
      <c r="IE13" s="50"/>
      <c r="IF13" s="51"/>
      <c r="IG13" s="52"/>
      <c r="IH13" s="52"/>
      <c r="II13" s="49"/>
      <c r="IJ13" s="49"/>
      <c r="IK13" s="50"/>
      <c r="IL13" s="50"/>
      <c r="IM13" s="50"/>
      <c r="IN13" s="51"/>
      <c r="IO13" s="51"/>
      <c r="IP13" s="50"/>
      <c r="IQ13" s="51"/>
      <c r="IR13" s="52"/>
      <c r="IS13" s="52"/>
      <c r="IT13" s="49"/>
      <c r="IU13" s="49"/>
      <c r="IV13" s="50"/>
    </row>
    <row r="14" spans="1:256" ht="19.899999999999999" customHeight="1" x14ac:dyDescent="0.25">
      <c r="A14" s="54">
        <v>33510</v>
      </c>
      <c r="B14" s="54" t="s">
        <v>60</v>
      </c>
      <c r="C14" s="35" t="e">
        <f>sheet1 #REF!</f>
        <v>#NAME?</v>
      </c>
      <c r="D14" s="55" t="e">
        <f t="shared" si="0"/>
        <v>#NAME?</v>
      </c>
      <c r="E14" s="55" t="e">
        <f t="shared" si="4"/>
        <v>#NAME?</v>
      </c>
      <c r="F14" s="55" t="e">
        <f t="shared" si="1"/>
        <v>#NAME?</v>
      </c>
      <c r="G14" s="56">
        <v>100</v>
      </c>
      <c r="H14" s="55" t="e">
        <f t="shared" si="2"/>
        <v>#NAME?</v>
      </c>
      <c r="I14" s="56">
        <v>6</v>
      </c>
      <c r="J14" s="57"/>
      <c r="K14" s="57" t="e">
        <f t="shared" si="3"/>
        <v>#NAME?</v>
      </c>
    </row>
    <row r="15" spans="1:256" ht="19.899999999999999" customHeight="1" x14ac:dyDescent="0.25">
      <c r="A15" s="34">
        <v>33520</v>
      </c>
      <c r="B15" s="34" t="s">
        <v>61</v>
      </c>
      <c r="C15" s="35" t="e">
        <f>sheet1 #REF!</f>
        <v>#NAME?</v>
      </c>
      <c r="D15" s="35" t="e">
        <f t="shared" si="0"/>
        <v>#NAME?</v>
      </c>
      <c r="E15" s="35" t="e">
        <f t="shared" si="4"/>
        <v>#NAME?</v>
      </c>
      <c r="F15" s="35" t="e">
        <f t="shared" si="1"/>
        <v>#NAME?</v>
      </c>
      <c r="G15" s="36">
        <v>100</v>
      </c>
      <c r="H15" s="35" t="e">
        <f t="shared" si="2"/>
        <v>#NAME?</v>
      </c>
      <c r="I15" s="36">
        <v>6</v>
      </c>
      <c r="J15" s="38"/>
      <c r="K15" s="38" t="e">
        <f t="shared" si="3"/>
        <v>#NAME?</v>
      </c>
      <c r="L15" s="39"/>
      <c r="M15" s="39"/>
      <c r="N15" s="40"/>
      <c r="O15" s="40"/>
      <c r="P15" s="40"/>
      <c r="Q15" s="41"/>
      <c r="R15" s="41"/>
      <c r="S15" s="40"/>
      <c r="T15" s="41"/>
      <c r="U15" s="42"/>
      <c r="V15" s="42"/>
      <c r="W15" s="39"/>
      <c r="X15" s="39"/>
      <c r="Y15" s="40"/>
      <c r="Z15" s="40"/>
      <c r="AA15" s="40"/>
      <c r="AB15" s="41"/>
      <c r="AC15" s="41"/>
      <c r="AD15" s="40"/>
      <c r="AE15" s="41"/>
      <c r="AF15" s="42"/>
      <c r="AG15" s="42"/>
      <c r="AH15" s="39"/>
      <c r="AI15" s="39"/>
      <c r="AJ15" s="40"/>
      <c r="AK15" s="40"/>
      <c r="AL15" s="40"/>
      <c r="AM15" s="41"/>
      <c r="AN15" s="41"/>
      <c r="AO15" s="40"/>
      <c r="AP15" s="41"/>
      <c r="AQ15" s="42"/>
      <c r="AR15" s="42"/>
      <c r="AS15" s="39"/>
      <c r="AT15" s="39"/>
      <c r="AU15" s="40"/>
      <c r="AV15" s="40"/>
      <c r="AW15" s="40"/>
      <c r="AX15" s="41"/>
      <c r="AY15" s="41"/>
      <c r="AZ15" s="40"/>
      <c r="BA15" s="41"/>
      <c r="BB15" s="42"/>
      <c r="BC15" s="42"/>
      <c r="BD15" s="39"/>
      <c r="BE15" s="39"/>
      <c r="BF15" s="40"/>
      <c r="BG15" s="40"/>
      <c r="BH15" s="40"/>
      <c r="BI15" s="41"/>
      <c r="BJ15" s="41"/>
      <c r="BK15" s="40"/>
      <c r="BL15" s="41"/>
      <c r="BM15" s="42"/>
      <c r="BN15" s="42"/>
      <c r="BO15" s="39"/>
      <c r="BP15" s="39"/>
      <c r="BQ15" s="40"/>
      <c r="BR15" s="40"/>
      <c r="BS15" s="40"/>
      <c r="BT15" s="41"/>
      <c r="BU15" s="41"/>
      <c r="BV15" s="40"/>
      <c r="BW15" s="41"/>
      <c r="BX15" s="42"/>
      <c r="BY15" s="42"/>
      <c r="BZ15" s="39"/>
      <c r="CA15" s="39"/>
      <c r="CB15" s="40"/>
      <c r="CC15" s="40"/>
      <c r="CD15" s="40"/>
      <c r="CE15" s="41"/>
      <c r="CF15" s="41"/>
      <c r="CG15" s="40"/>
      <c r="CH15" s="41"/>
      <c r="CI15" s="42"/>
      <c r="CJ15" s="42"/>
      <c r="CK15" s="39"/>
      <c r="CL15" s="39"/>
      <c r="CM15" s="40"/>
      <c r="CN15" s="40"/>
      <c r="CO15" s="40"/>
      <c r="CP15" s="41"/>
      <c r="CQ15" s="41"/>
      <c r="CR15" s="40"/>
      <c r="CS15" s="41"/>
      <c r="CT15" s="42"/>
      <c r="CU15" s="42"/>
      <c r="CV15" s="39"/>
      <c r="CW15" s="39"/>
      <c r="CX15" s="40"/>
      <c r="CY15" s="40"/>
      <c r="CZ15" s="40"/>
      <c r="DA15" s="41"/>
      <c r="DB15" s="41"/>
      <c r="DC15" s="40"/>
      <c r="DD15" s="41"/>
      <c r="DE15" s="42"/>
      <c r="DF15" s="42"/>
      <c r="DG15" s="39"/>
      <c r="DH15" s="39"/>
      <c r="DI15" s="40"/>
      <c r="DJ15" s="40"/>
      <c r="DK15" s="40"/>
      <c r="DL15" s="41"/>
      <c r="DM15" s="41"/>
      <c r="DN15" s="40"/>
      <c r="DO15" s="41"/>
      <c r="DP15" s="42"/>
      <c r="DQ15" s="42"/>
      <c r="DR15" s="39"/>
      <c r="DS15" s="39"/>
      <c r="DT15" s="40"/>
      <c r="DU15" s="40"/>
      <c r="DV15" s="40"/>
      <c r="DW15" s="41"/>
      <c r="DX15" s="41"/>
      <c r="DY15" s="40"/>
      <c r="DZ15" s="41"/>
      <c r="EA15" s="42"/>
      <c r="EB15" s="42"/>
      <c r="EC15" s="39"/>
      <c r="ED15" s="39"/>
      <c r="EE15" s="40"/>
      <c r="EF15" s="40"/>
      <c r="EG15" s="40"/>
      <c r="EH15" s="41"/>
      <c r="EI15" s="41"/>
      <c r="EJ15" s="40"/>
      <c r="EK15" s="41"/>
      <c r="EL15" s="42"/>
      <c r="EM15" s="42"/>
      <c r="EN15" s="39"/>
      <c r="EO15" s="39"/>
      <c r="EP15" s="40"/>
      <c r="EQ15" s="40"/>
      <c r="ER15" s="40"/>
      <c r="ES15" s="41"/>
      <c r="ET15" s="41"/>
      <c r="EU15" s="40"/>
      <c r="EV15" s="41"/>
      <c r="EW15" s="42"/>
      <c r="EX15" s="42"/>
      <c r="EY15" s="39"/>
      <c r="EZ15" s="39"/>
      <c r="FA15" s="40"/>
      <c r="FB15" s="40"/>
      <c r="FC15" s="40"/>
      <c r="FD15" s="41"/>
      <c r="FE15" s="41"/>
      <c r="FF15" s="40"/>
      <c r="FG15" s="41"/>
      <c r="FH15" s="42"/>
      <c r="FI15" s="42"/>
      <c r="FJ15" s="39"/>
      <c r="FK15" s="39"/>
      <c r="FL15" s="40"/>
      <c r="FM15" s="40"/>
      <c r="FN15" s="40"/>
      <c r="FO15" s="41"/>
      <c r="FP15" s="41"/>
      <c r="FQ15" s="40"/>
      <c r="FR15" s="41"/>
      <c r="FS15" s="42"/>
      <c r="FT15" s="42"/>
      <c r="FU15" s="39"/>
      <c r="FV15" s="39"/>
      <c r="FW15" s="40"/>
      <c r="FX15" s="40"/>
      <c r="FY15" s="40"/>
      <c r="FZ15" s="41"/>
      <c r="GA15" s="41"/>
      <c r="GB15" s="40"/>
      <c r="GC15" s="41"/>
      <c r="GD15" s="42"/>
      <c r="GE15" s="42"/>
      <c r="GF15" s="39"/>
      <c r="GG15" s="39"/>
      <c r="GH15" s="40"/>
      <c r="GI15" s="40"/>
      <c r="GJ15" s="40"/>
      <c r="GK15" s="41"/>
      <c r="GL15" s="41"/>
      <c r="GM15" s="40"/>
      <c r="GN15" s="41"/>
      <c r="GO15" s="42"/>
      <c r="GP15" s="42"/>
      <c r="GQ15" s="39"/>
      <c r="GR15" s="39"/>
      <c r="GS15" s="40"/>
      <c r="GT15" s="40"/>
      <c r="GU15" s="40"/>
      <c r="GV15" s="41"/>
      <c r="GW15" s="41"/>
      <c r="GX15" s="40"/>
      <c r="GY15" s="41"/>
      <c r="GZ15" s="42"/>
      <c r="HA15" s="42"/>
      <c r="HB15" s="39"/>
      <c r="HC15" s="39"/>
      <c r="HD15" s="40"/>
      <c r="HE15" s="40"/>
      <c r="HF15" s="40"/>
      <c r="HG15" s="41"/>
      <c r="HH15" s="41"/>
      <c r="HI15" s="40"/>
      <c r="HJ15" s="41"/>
      <c r="HK15" s="42"/>
      <c r="HL15" s="42"/>
      <c r="HM15" s="39"/>
      <c r="HN15" s="39"/>
      <c r="HO15" s="40"/>
      <c r="HP15" s="40"/>
      <c r="HQ15" s="40"/>
      <c r="HR15" s="41"/>
      <c r="HS15" s="41"/>
      <c r="HT15" s="40"/>
      <c r="HU15" s="41"/>
      <c r="HV15" s="42"/>
      <c r="HW15" s="42"/>
      <c r="HX15" s="39"/>
      <c r="HY15" s="39"/>
      <c r="HZ15" s="40"/>
      <c r="IA15" s="40"/>
      <c r="IB15" s="40"/>
      <c r="IC15" s="41"/>
      <c r="ID15" s="41"/>
      <c r="IE15" s="40"/>
      <c r="IF15" s="41"/>
      <c r="IG15" s="42"/>
      <c r="IH15" s="42"/>
      <c r="II15" s="39"/>
      <c r="IJ15" s="39"/>
      <c r="IK15" s="40"/>
      <c r="IL15" s="40"/>
      <c r="IM15" s="40"/>
      <c r="IN15" s="41"/>
      <c r="IO15" s="41"/>
      <c r="IP15" s="40"/>
      <c r="IQ15" s="41"/>
      <c r="IR15" s="42"/>
      <c r="IS15" s="42"/>
      <c r="IT15" s="39"/>
      <c r="IU15" s="39"/>
      <c r="IV15" s="40"/>
    </row>
    <row r="16" spans="1:256" ht="19.899999999999999" customHeight="1" x14ac:dyDescent="0.25">
      <c r="A16" s="43">
        <v>33540</v>
      </c>
      <c r="B16" s="43" t="s">
        <v>62</v>
      </c>
      <c r="C16" s="35" t="e">
        <f>sheet1 #REF!</f>
        <v>#NAME?</v>
      </c>
      <c r="D16" s="35" t="e">
        <f t="shared" si="0"/>
        <v>#NAME?</v>
      </c>
      <c r="E16" s="35" t="e">
        <f t="shared" si="4"/>
        <v>#NAME?</v>
      </c>
      <c r="F16" s="35" t="e">
        <f t="shared" si="1"/>
        <v>#NAME?</v>
      </c>
      <c r="G16" s="36">
        <v>100</v>
      </c>
      <c r="H16" s="35" t="e">
        <f t="shared" si="2"/>
        <v>#NAME?</v>
      </c>
      <c r="I16" s="36">
        <v>6</v>
      </c>
      <c r="J16" s="38"/>
      <c r="K16" s="38" t="e">
        <f t="shared" si="3"/>
        <v>#NAME?</v>
      </c>
      <c r="L16" s="39"/>
      <c r="M16" s="39"/>
      <c r="N16" s="40"/>
      <c r="O16" s="40"/>
      <c r="P16" s="40"/>
      <c r="Q16" s="41"/>
      <c r="R16" s="41"/>
      <c r="S16" s="40"/>
      <c r="T16" s="41"/>
      <c r="U16" s="42"/>
      <c r="V16" s="42"/>
      <c r="W16" s="39"/>
      <c r="X16" s="39"/>
      <c r="Y16" s="40"/>
      <c r="Z16" s="40"/>
      <c r="AA16" s="40"/>
      <c r="AB16" s="41"/>
      <c r="AC16" s="41"/>
      <c r="AD16" s="40"/>
      <c r="AE16" s="41"/>
      <c r="AF16" s="42"/>
      <c r="AG16" s="42"/>
      <c r="AH16" s="39"/>
      <c r="AI16" s="39"/>
      <c r="AJ16" s="40"/>
      <c r="AK16" s="40"/>
      <c r="AL16" s="40"/>
      <c r="AM16" s="41"/>
      <c r="AN16" s="41"/>
      <c r="AO16" s="40"/>
      <c r="AP16" s="41"/>
      <c r="AQ16" s="42"/>
      <c r="AR16" s="42"/>
      <c r="AS16" s="39"/>
      <c r="AT16" s="39"/>
      <c r="AU16" s="40"/>
      <c r="AV16" s="40"/>
      <c r="AW16" s="40"/>
      <c r="AX16" s="41"/>
      <c r="AY16" s="41"/>
      <c r="AZ16" s="40"/>
      <c r="BA16" s="41"/>
      <c r="BB16" s="42"/>
      <c r="BC16" s="42"/>
      <c r="BD16" s="39"/>
      <c r="BE16" s="39"/>
      <c r="BF16" s="40"/>
      <c r="BG16" s="40"/>
      <c r="BH16" s="40"/>
      <c r="BI16" s="41"/>
      <c r="BJ16" s="41"/>
      <c r="BK16" s="40"/>
      <c r="BL16" s="41"/>
      <c r="BM16" s="42"/>
      <c r="BN16" s="42"/>
      <c r="BO16" s="39"/>
      <c r="BP16" s="39"/>
      <c r="BQ16" s="40"/>
      <c r="BR16" s="40"/>
      <c r="BS16" s="40"/>
      <c r="BT16" s="41"/>
      <c r="BU16" s="41"/>
      <c r="BV16" s="40"/>
      <c r="BW16" s="41"/>
      <c r="BX16" s="42"/>
      <c r="BY16" s="42"/>
      <c r="BZ16" s="39"/>
      <c r="CA16" s="39"/>
      <c r="CB16" s="40"/>
      <c r="CC16" s="40"/>
      <c r="CD16" s="40"/>
      <c r="CE16" s="41"/>
      <c r="CF16" s="41"/>
      <c r="CG16" s="40"/>
      <c r="CH16" s="41"/>
      <c r="CI16" s="42"/>
      <c r="CJ16" s="42"/>
      <c r="CK16" s="39"/>
      <c r="CL16" s="39"/>
      <c r="CM16" s="40"/>
      <c r="CN16" s="40"/>
      <c r="CO16" s="40"/>
      <c r="CP16" s="41"/>
      <c r="CQ16" s="41"/>
      <c r="CR16" s="40"/>
      <c r="CS16" s="41"/>
      <c r="CT16" s="42"/>
      <c r="CU16" s="42"/>
      <c r="CV16" s="39"/>
      <c r="CW16" s="39"/>
      <c r="CX16" s="40"/>
      <c r="CY16" s="40"/>
      <c r="CZ16" s="40"/>
      <c r="DA16" s="41"/>
      <c r="DB16" s="41"/>
      <c r="DC16" s="40"/>
      <c r="DD16" s="41"/>
      <c r="DE16" s="42"/>
      <c r="DF16" s="42"/>
      <c r="DG16" s="39"/>
      <c r="DH16" s="39"/>
      <c r="DI16" s="40"/>
      <c r="DJ16" s="40"/>
      <c r="DK16" s="40"/>
      <c r="DL16" s="41"/>
      <c r="DM16" s="41"/>
      <c r="DN16" s="40"/>
      <c r="DO16" s="41"/>
      <c r="DP16" s="42"/>
      <c r="DQ16" s="42"/>
      <c r="DR16" s="39"/>
      <c r="DS16" s="39"/>
      <c r="DT16" s="40"/>
      <c r="DU16" s="40"/>
      <c r="DV16" s="40"/>
      <c r="DW16" s="41"/>
      <c r="DX16" s="41"/>
      <c r="DY16" s="40"/>
      <c r="DZ16" s="41"/>
      <c r="EA16" s="42"/>
      <c r="EB16" s="42"/>
      <c r="EC16" s="39"/>
      <c r="ED16" s="39"/>
      <c r="EE16" s="40"/>
      <c r="EF16" s="40"/>
      <c r="EG16" s="40"/>
      <c r="EH16" s="41"/>
      <c r="EI16" s="41"/>
      <c r="EJ16" s="40"/>
      <c r="EK16" s="41"/>
      <c r="EL16" s="42"/>
      <c r="EM16" s="42"/>
      <c r="EN16" s="39"/>
      <c r="EO16" s="39"/>
      <c r="EP16" s="40"/>
      <c r="EQ16" s="40"/>
      <c r="ER16" s="40"/>
      <c r="ES16" s="41"/>
      <c r="ET16" s="41"/>
      <c r="EU16" s="40"/>
      <c r="EV16" s="41"/>
      <c r="EW16" s="42"/>
      <c r="EX16" s="42"/>
      <c r="EY16" s="39"/>
      <c r="EZ16" s="39"/>
      <c r="FA16" s="40"/>
      <c r="FB16" s="40"/>
      <c r="FC16" s="40"/>
      <c r="FD16" s="41"/>
      <c r="FE16" s="41"/>
      <c r="FF16" s="40"/>
      <c r="FG16" s="41"/>
      <c r="FH16" s="42"/>
      <c r="FI16" s="42"/>
      <c r="FJ16" s="39"/>
      <c r="FK16" s="39"/>
      <c r="FL16" s="40"/>
      <c r="FM16" s="40"/>
      <c r="FN16" s="40"/>
      <c r="FO16" s="41"/>
      <c r="FP16" s="41"/>
      <c r="FQ16" s="40"/>
      <c r="FR16" s="41"/>
      <c r="FS16" s="42"/>
      <c r="FT16" s="42"/>
      <c r="FU16" s="39"/>
      <c r="FV16" s="39"/>
      <c r="FW16" s="40"/>
      <c r="FX16" s="40"/>
      <c r="FY16" s="40"/>
      <c r="FZ16" s="41"/>
      <c r="GA16" s="41"/>
      <c r="GB16" s="40"/>
      <c r="GC16" s="41"/>
      <c r="GD16" s="42"/>
      <c r="GE16" s="42"/>
      <c r="GF16" s="39"/>
      <c r="GG16" s="39"/>
      <c r="GH16" s="40"/>
      <c r="GI16" s="40"/>
      <c r="GJ16" s="40"/>
      <c r="GK16" s="41"/>
      <c r="GL16" s="41"/>
      <c r="GM16" s="40"/>
      <c r="GN16" s="41"/>
      <c r="GO16" s="42"/>
      <c r="GP16" s="42"/>
      <c r="GQ16" s="39"/>
      <c r="GR16" s="39"/>
      <c r="GS16" s="40"/>
      <c r="GT16" s="40"/>
      <c r="GU16" s="40"/>
      <c r="GV16" s="41"/>
      <c r="GW16" s="41"/>
      <c r="GX16" s="40"/>
      <c r="GY16" s="41"/>
      <c r="GZ16" s="42"/>
      <c r="HA16" s="42"/>
      <c r="HB16" s="39"/>
      <c r="HC16" s="39"/>
      <c r="HD16" s="40"/>
      <c r="HE16" s="40"/>
      <c r="HF16" s="40"/>
      <c r="HG16" s="41"/>
      <c r="HH16" s="41"/>
      <c r="HI16" s="40"/>
      <c r="HJ16" s="41"/>
      <c r="HK16" s="42"/>
      <c r="HL16" s="42"/>
      <c r="HM16" s="39"/>
      <c r="HN16" s="39"/>
      <c r="HO16" s="40"/>
      <c r="HP16" s="40"/>
      <c r="HQ16" s="40"/>
      <c r="HR16" s="41"/>
      <c r="HS16" s="41"/>
      <c r="HT16" s="40"/>
      <c r="HU16" s="41"/>
      <c r="HV16" s="42"/>
      <c r="HW16" s="42"/>
      <c r="HX16" s="39"/>
      <c r="HY16" s="39"/>
      <c r="HZ16" s="40"/>
      <c r="IA16" s="40"/>
      <c r="IB16" s="40"/>
      <c r="IC16" s="41"/>
      <c r="ID16" s="41"/>
      <c r="IE16" s="40"/>
      <c r="IF16" s="41"/>
      <c r="IG16" s="42"/>
      <c r="IH16" s="42"/>
      <c r="II16" s="39"/>
      <c r="IJ16" s="39"/>
      <c r="IK16" s="40"/>
      <c r="IL16" s="40"/>
      <c r="IM16" s="40"/>
      <c r="IN16" s="41"/>
      <c r="IO16" s="41"/>
      <c r="IP16" s="40"/>
      <c r="IQ16" s="41"/>
      <c r="IR16" s="42"/>
      <c r="IS16" s="42"/>
      <c r="IT16" s="39"/>
      <c r="IU16" s="39"/>
      <c r="IV16" s="40"/>
    </row>
    <row r="17" spans="1:256" ht="19.899999999999999" customHeight="1" x14ac:dyDescent="0.25">
      <c r="A17" s="43" t="s">
        <v>63</v>
      </c>
      <c r="B17" s="43" t="s">
        <v>64</v>
      </c>
      <c r="C17" s="35" t="e">
        <f>sheet1 #REF!</f>
        <v>#NAME?</v>
      </c>
      <c r="D17" s="35" t="e">
        <f t="shared" si="0"/>
        <v>#NAME?</v>
      </c>
      <c r="E17" s="35" t="e">
        <f t="shared" si="4"/>
        <v>#NAME?</v>
      </c>
      <c r="F17" s="35" t="e">
        <f t="shared" si="1"/>
        <v>#NAME?</v>
      </c>
      <c r="G17" s="36">
        <v>100</v>
      </c>
      <c r="H17" s="35" t="e">
        <f t="shared" si="2"/>
        <v>#NAME?</v>
      </c>
      <c r="I17" s="36">
        <v>6</v>
      </c>
      <c r="J17" s="38"/>
      <c r="K17" s="38" t="e">
        <f t="shared" si="3"/>
        <v>#NAME?</v>
      </c>
      <c r="L17" s="39"/>
      <c r="M17" s="39"/>
      <c r="N17" s="40"/>
      <c r="O17" s="40"/>
      <c r="P17" s="40"/>
      <c r="Q17" s="41"/>
      <c r="R17" s="41"/>
      <c r="S17" s="40"/>
      <c r="T17" s="41"/>
      <c r="U17" s="42"/>
      <c r="V17" s="42"/>
      <c r="W17" s="39"/>
      <c r="X17" s="39"/>
      <c r="Y17" s="40"/>
      <c r="Z17" s="40"/>
      <c r="AA17" s="40"/>
      <c r="AB17" s="41"/>
      <c r="AC17" s="41"/>
      <c r="AD17" s="40"/>
      <c r="AE17" s="41"/>
      <c r="AF17" s="42"/>
      <c r="AG17" s="42"/>
      <c r="AH17" s="39"/>
      <c r="AI17" s="39"/>
      <c r="AJ17" s="40"/>
      <c r="AK17" s="40"/>
      <c r="AL17" s="40"/>
      <c r="AM17" s="41"/>
      <c r="AN17" s="41"/>
      <c r="AO17" s="40"/>
      <c r="AP17" s="41"/>
      <c r="AQ17" s="42"/>
      <c r="AR17" s="42"/>
      <c r="AS17" s="39"/>
      <c r="AT17" s="39"/>
      <c r="AU17" s="40"/>
      <c r="AV17" s="40"/>
      <c r="AW17" s="40"/>
      <c r="AX17" s="41"/>
      <c r="AY17" s="41"/>
      <c r="AZ17" s="40"/>
      <c r="BA17" s="41"/>
      <c r="BB17" s="42"/>
      <c r="BC17" s="42"/>
      <c r="BD17" s="39"/>
      <c r="BE17" s="39"/>
      <c r="BF17" s="40"/>
      <c r="BG17" s="40"/>
      <c r="BH17" s="40"/>
      <c r="BI17" s="41"/>
      <c r="BJ17" s="41"/>
      <c r="BK17" s="40"/>
      <c r="BL17" s="41"/>
      <c r="BM17" s="42"/>
      <c r="BN17" s="42"/>
      <c r="BO17" s="39"/>
      <c r="BP17" s="39"/>
      <c r="BQ17" s="40"/>
      <c r="BR17" s="40"/>
      <c r="BS17" s="40"/>
      <c r="BT17" s="41"/>
      <c r="BU17" s="41"/>
      <c r="BV17" s="40"/>
      <c r="BW17" s="41"/>
      <c r="BX17" s="42"/>
      <c r="BY17" s="42"/>
      <c r="BZ17" s="39"/>
      <c r="CA17" s="39"/>
      <c r="CB17" s="40"/>
      <c r="CC17" s="40"/>
      <c r="CD17" s="40"/>
      <c r="CE17" s="41"/>
      <c r="CF17" s="41"/>
      <c r="CG17" s="40"/>
      <c r="CH17" s="41"/>
      <c r="CI17" s="42"/>
      <c r="CJ17" s="42"/>
      <c r="CK17" s="39"/>
      <c r="CL17" s="39"/>
      <c r="CM17" s="40"/>
      <c r="CN17" s="40"/>
      <c r="CO17" s="40"/>
      <c r="CP17" s="41"/>
      <c r="CQ17" s="41"/>
      <c r="CR17" s="40"/>
      <c r="CS17" s="41"/>
      <c r="CT17" s="42"/>
      <c r="CU17" s="42"/>
      <c r="CV17" s="39"/>
      <c r="CW17" s="39"/>
      <c r="CX17" s="40"/>
      <c r="CY17" s="40"/>
      <c r="CZ17" s="40"/>
      <c r="DA17" s="41"/>
      <c r="DB17" s="41"/>
      <c r="DC17" s="40"/>
      <c r="DD17" s="41"/>
      <c r="DE17" s="42"/>
      <c r="DF17" s="42"/>
      <c r="DG17" s="39"/>
      <c r="DH17" s="39"/>
      <c r="DI17" s="40"/>
      <c r="DJ17" s="40"/>
      <c r="DK17" s="40"/>
      <c r="DL17" s="41"/>
      <c r="DM17" s="41"/>
      <c r="DN17" s="40"/>
      <c r="DO17" s="41"/>
      <c r="DP17" s="42"/>
      <c r="DQ17" s="42"/>
      <c r="DR17" s="39"/>
      <c r="DS17" s="39"/>
      <c r="DT17" s="40"/>
      <c r="DU17" s="40"/>
      <c r="DV17" s="40"/>
      <c r="DW17" s="41"/>
      <c r="DX17" s="41"/>
      <c r="DY17" s="40"/>
      <c r="DZ17" s="41"/>
      <c r="EA17" s="42"/>
      <c r="EB17" s="42"/>
      <c r="EC17" s="39"/>
      <c r="ED17" s="39"/>
      <c r="EE17" s="40"/>
      <c r="EF17" s="40"/>
      <c r="EG17" s="40"/>
      <c r="EH17" s="41"/>
      <c r="EI17" s="41"/>
      <c r="EJ17" s="40"/>
      <c r="EK17" s="41"/>
      <c r="EL17" s="42"/>
      <c r="EM17" s="42"/>
      <c r="EN17" s="39"/>
      <c r="EO17" s="39"/>
      <c r="EP17" s="40"/>
      <c r="EQ17" s="40"/>
      <c r="ER17" s="40"/>
      <c r="ES17" s="41"/>
      <c r="ET17" s="41"/>
      <c r="EU17" s="40"/>
      <c r="EV17" s="41"/>
      <c r="EW17" s="42"/>
      <c r="EX17" s="42"/>
      <c r="EY17" s="39"/>
      <c r="EZ17" s="39"/>
      <c r="FA17" s="40"/>
      <c r="FB17" s="40"/>
      <c r="FC17" s="40"/>
      <c r="FD17" s="41"/>
      <c r="FE17" s="41"/>
      <c r="FF17" s="40"/>
      <c r="FG17" s="41"/>
      <c r="FH17" s="42"/>
      <c r="FI17" s="42"/>
      <c r="FJ17" s="39"/>
      <c r="FK17" s="39"/>
      <c r="FL17" s="40"/>
      <c r="FM17" s="40"/>
      <c r="FN17" s="40"/>
      <c r="FO17" s="41"/>
      <c r="FP17" s="41"/>
      <c r="FQ17" s="40"/>
      <c r="FR17" s="41"/>
      <c r="FS17" s="42"/>
      <c r="FT17" s="42"/>
      <c r="FU17" s="39"/>
      <c r="FV17" s="39"/>
      <c r="FW17" s="40"/>
      <c r="FX17" s="40"/>
      <c r="FY17" s="40"/>
      <c r="FZ17" s="41"/>
      <c r="GA17" s="41"/>
      <c r="GB17" s="40"/>
      <c r="GC17" s="41"/>
      <c r="GD17" s="42"/>
      <c r="GE17" s="42"/>
      <c r="GF17" s="39"/>
      <c r="GG17" s="39"/>
      <c r="GH17" s="40"/>
      <c r="GI17" s="40"/>
      <c r="GJ17" s="40"/>
      <c r="GK17" s="41"/>
      <c r="GL17" s="41"/>
      <c r="GM17" s="40"/>
      <c r="GN17" s="41"/>
      <c r="GO17" s="42"/>
      <c r="GP17" s="42"/>
      <c r="GQ17" s="39"/>
      <c r="GR17" s="39"/>
      <c r="GS17" s="40"/>
      <c r="GT17" s="40"/>
      <c r="GU17" s="40"/>
      <c r="GV17" s="41"/>
      <c r="GW17" s="41"/>
      <c r="GX17" s="40"/>
      <c r="GY17" s="41"/>
      <c r="GZ17" s="42"/>
      <c r="HA17" s="42"/>
      <c r="HB17" s="39"/>
      <c r="HC17" s="39"/>
      <c r="HD17" s="40"/>
      <c r="HE17" s="40"/>
      <c r="HF17" s="40"/>
      <c r="HG17" s="41"/>
      <c r="HH17" s="41"/>
      <c r="HI17" s="40"/>
      <c r="HJ17" s="41"/>
      <c r="HK17" s="42"/>
      <c r="HL17" s="42"/>
      <c r="HM17" s="39"/>
      <c r="HN17" s="39"/>
      <c r="HO17" s="40"/>
      <c r="HP17" s="40"/>
      <c r="HQ17" s="40"/>
      <c r="HR17" s="41"/>
      <c r="HS17" s="41"/>
      <c r="HT17" s="40"/>
      <c r="HU17" s="41"/>
      <c r="HV17" s="42"/>
      <c r="HW17" s="42"/>
      <c r="HX17" s="39"/>
      <c r="HY17" s="39"/>
      <c r="HZ17" s="40"/>
      <c r="IA17" s="40"/>
      <c r="IB17" s="40"/>
      <c r="IC17" s="41"/>
      <c r="ID17" s="41"/>
      <c r="IE17" s="40"/>
      <c r="IF17" s="41"/>
      <c r="IG17" s="42"/>
      <c r="IH17" s="42"/>
      <c r="II17" s="39"/>
      <c r="IJ17" s="39"/>
      <c r="IK17" s="40"/>
      <c r="IL17" s="40"/>
      <c r="IM17" s="40"/>
      <c r="IN17" s="41"/>
      <c r="IO17" s="41"/>
      <c r="IP17" s="40"/>
      <c r="IQ17" s="41"/>
      <c r="IR17" s="42"/>
      <c r="IS17" s="42"/>
      <c r="IT17" s="39"/>
      <c r="IU17" s="39"/>
      <c r="IV17" s="40"/>
    </row>
    <row r="18" spans="1:256" ht="19.899999999999999" customHeight="1" x14ac:dyDescent="0.25">
      <c r="A18" s="43">
        <v>33530</v>
      </c>
      <c r="B18" s="43" t="s">
        <v>65</v>
      </c>
      <c r="C18" s="35" t="e">
        <f>sheet1 #REF!</f>
        <v>#NAME?</v>
      </c>
      <c r="D18" s="35" t="e">
        <f t="shared" si="0"/>
        <v>#NAME?</v>
      </c>
      <c r="E18" s="35" t="e">
        <f t="shared" si="4"/>
        <v>#NAME?</v>
      </c>
      <c r="F18" s="35" t="e">
        <f t="shared" si="1"/>
        <v>#NAME?</v>
      </c>
      <c r="G18" s="36">
        <v>100</v>
      </c>
      <c r="H18" s="35" t="e">
        <f t="shared" si="2"/>
        <v>#NAME?</v>
      </c>
      <c r="I18" s="36">
        <v>6</v>
      </c>
      <c r="J18" s="38"/>
      <c r="K18" s="38" t="e">
        <f t="shared" si="3"/>
        <v>#NAME?</v>
      </c>
    </row>
    <row r="19" spans="1:256" ht="19.899999999999999" customHeight="1" x14ac:dyDescent="0.25">
      <c r="A19" s="43">
        <v>33560</v>
      </c>
      <c r="B19" s="43" t="s">
        <v>66</v>
      </c>
      <c r="C19" s="35" t="e">
        <f>sheet1 #REF!</f>
        <v>#NAME?</v>
      </c>
      <c r="D19" s="35" t="e">
        <f t="shared" si="0"/>
        <v>#NAME?</v>
      </c>
      <c r="E19" s="35" t="e">
        <f t="shared" si="4"/>
        <v>#NAME?</v>
      </c>
      <c r="F19" s="35" t="e">
        <f t="shared" si="1"/>
        <v>#NAME?</v>
      </c>
      <c r="G19" s="36">
        <v>100</v>
      </c>
      <c r="H19" s="35" t="e">
        <f t="shared" si="2"/>
        <v>#NAME?</v>
      </c>
      <c r="I19" s="36">
        <v>6</v>
      </c>
      <c r="J19" s="38"/>
      <c r="K19" s="38" t="e">
        <f t="shared" si="3"/>
        <v>#NAME?</v>
      </c>
    </row>
    <row r="20" spans="1:256" ht="19.899999999999999" customHeight="1" x14ac:dyDescent="0.25">
      <c r="A20" s="43">
        <v>33550</v>
      </c>
      <c r="B20" s="43" t="s">
        <v>67</v>
      </c>
      <c r="C20" s="35" t="e">
        <f>sheet1 #REF!</f>
        <v>#NAME?</v>
      </c>
      <c r="D20" s="35" t="e">
        <f t="shared" si="0"/>
        <v>#NAME?</v>
      </c>
      <c r="E20" s="35" t="e">
        <f t="shared" si="4"/>
        <v>#NAME?</v>
      </c>
      <c r="F20" s="35" t="e">
        <f t="shared" si="1"/>
        <v>#NAME?</v>
      </c>
      <c r="G20" s="36">
        <v>100</v>
      </c>
      <c r="H20" s="35" t="e">
        <f t="shared" si="2"/>
        <v>#NAME?</v>
      </c>
      <c r="I20" s="36">
        <v>6</v>
      </c>
      <c r="J20" s="38"/>
      <c r="K20" s="38" t="e">
        <f t="shared" si="3"/>
        <v>#NAME?</v>
      </c>
    </row>
    <row r="21" spans="1:256" ht="19.899999999999999" customHeight="1" x14ac:dyDescent="0.25">
      <c r="A21" s="58">
        <v>33570</v>
      </c>
      <c r="B21" s="58" t="s">
        <v>68</v>
      </c>
      <c r="C21" s="35" t="e">
        <f>sheet1 #REF!</f>
        <v>#NAME?</v>
      </c>
      <c r="D21" s="35" t="e">
        <f t="shared" si="0"/>
        <v>#NAME?</v>
      </c>
      <c r="E21" s="35" t="e">
        <f t="shared" si="4"/>
        <v>#NAME?</v>
      </c>
      <c r="F21" s="35" t="e">
        <f t="shared" si="1"/>
        <v>#NAME?</v>
      </c>
      <c r="G21" s="59">
        <v>100</v>
      </c>
      <c r="H21" s="35" t="e">
        <f t="shared" si="2"/>
        <v>#NAME?</v>
      </c>
      <c r="I21" s="59">
        <v>6</v>
      </c>
      <c r="J21" s="38"/>
      <c r="K21" s="38" t="e">
        <f t="shared" si="3"/>
        <v>#NAME?</v>
      </c>
    </row>
    <row r="22" spans="1:256" ht="19.899999999999999" customHeight="1" x14ac:dyDescent="0.25">
      <c r="A22" s="58" t="s">
        <v>69</v>
      </c>
      <c r="B22" s="58" t="s">
        <v>70</v>
      </c>
      <c r="C22" s="35" t="e">
        <f>sheet1 #REF!</f>
        <v>#NAME?</v>
      </c>
      <c r="D22" s="35" t="e">
        <f t="shared" si="0"/>
        <v>#NAME?</v>
      </c>
      <c r="E22" s="35" t="e">
        <f t="shared" si="4"/>
        <v>#NAME?</v>
      </c>
      <c r="F22" s="35" t="e">
        <f t="shared" si="1"/>
        <v>#NAME?</v>
      </c>
      <c r="G22" s="60">
        <v>100</v>
      </c>
      <c r="H22" s="35" t="e">
        <f t="shared" si="2"/>
        <v>#NAME?</v>
      </c>
      <c r="I22" s="59">
        <v>6</v>
      </c>
      <c r="J22" s="38"/>
      <c r="K22" s="38" t="e">
        <f t="shared" si="3"/>
        <v>#NAME?</v>
      </c>
    </row>
    <row r="23" spans="1:256" ht="19.899999999999999" customHeight="1" x14ac:dyDescent="0.25">
      <c r="A23" s="58">
        <v>33211</v>
      </c>
      <c r="B23" s="61" t="s">
        <v>71</v>
      </c>
      <c r="C23" s="35" t="e">
        <f>sheet1 #REF!</f>
        <v>#NAME?</v>
      </c>
      <c r="D23" s="35" t="e">
        <f t="shared" si="0"/>
        <v>#NAME?</v>
      </c>
      <c r="E23" s="62" t="e">
        <f t="shared" si="4"/>
        <v>#NAME?</v>
      </c>
      <c r="F23" s="62" t="e">
        <f t="shared" si="1"/>
        <v>#NAME?</v>
      </c>
      <c r="G23" s="59">
        <v>300</v>
      </c>
      <c r="H23" s="62" t="e">
        <f t="shared" si="2"/>
        <v>#NAME?</v>
      </c>
      <c r="I23" s="59">
        <v>2</v>
      </c>
      <c r="J23" s="38"/>
      <c r="K23" s="38" t="e">
        <f t="shared" si="3"/>
        <v>#NAME?</v>
      </c>
    </row>
    <row r="24" spans="1:256" ht="19.899999999999999" customHeight="1" x14ac:dyDescent="0.25">
      <c r="A24" s="58" t="s">
        <v>72</v>
      </c>
      <c r="B24" s="61" t="s">
        <v>73</v>
      </c>
      <c r="C24" s="35" t="e">
        <f>sheet1 #REF!</f>
        <v>#NAME?</v>
      </c>
      <c r="D24" s="35" t="e">
        <f t="shared" si="0"/>
        <v>#NAME?</v>
      </c>
      <c r="E24" s="62" t="e">
        <f t="shared" si="4"/>
        <v>#NAME?</v>
      </c>
      <c r="F24" s="62" t="e">
        <f t="shared" si="1"/>
        <v>#NAME?</v>
      </c>
      <c r="G24" s="59">
        <v>100</v>
      </c>
      <c r="H24" s="62" t="e">
        <f t="shared" si="2"/>
        <v>#NAME?</v>
      </c>
      <c r="I24" s="59">
        <v>6</v>
      </c>
      <c r="J24" s="38"/>
      <c r="K24" s="38" t="e">
        <f t="shared" si="3"/>
        <v>#NAME?</v>
      </c>
    </row>
    <row r="25" spans="1:256" ht="19.899999999999999" customHeight="1" x14ac:dyDescent="0.25">
      <c r="A25" s="44" t="s">
        <v>74</v>
      </c>
      <c r="B25" s="44" t="s">
        <v>75</v>
      </c>
      <c r="C25" s="35" t="e">
        <f>sheet1 #REF!</f>
        <v>#NAME?</v>
      </c>
      <c r="D25" s="62" t="e">
        <f t="shared" si="0"/>
        <v>#NAME?</v>
      </c>
      <c r="E25" s="62" t="e">
        <f t="shared" si="4"/>
        <v>#NAME?</v>
      </c>
      <c r="F25" s="62" t="e">
        <f t="shared" si="1"/>
        <v>#NAME?</v>
      </c>
      <c r="G25" s="59">
        <v>100</v>
      </c>
      <c r="H25" s="62" t="e">
        <f t="shared" si="2"/>
        <v>#NAME?</v>
      </c>
      <c r="I25" s="59">
        <v>6</v>
      </c>
      <c r="J25" s="38"/>
      <c r="K25" s="38" t="e">
        <f t="shared" si="3"/>
        <v>#NAME?</v>
      </c>
    </row>
    <row r="26" spans="1:256" ht="19.899999999999999" customHeight="1" x14ac:dyDescent="0.25">
      <c r="A26" s="63" t="s">
        <v>76</v>
      </c>
      <c r="B26" s="63" t="s">
        <v>77</v>
      </c>
      <c r="C26" s="35" t="e">
        <f>sheet1 #REF!</f>
        <v>#NAME?</v>
      </c>
      <c r="D26" s="64" t="e">
        <f t="shared" si="0"/>
        <v>#NAME?</v>
      </c>
      <c r="E26" s="64" t="e">
        <f t="shared" si="4"/>
        <v>#NAME?</v>
      </c>
      <c r="F26" s="64" t="e">
        <f t="shared" si="1"/>
        <v>#NAME?</v>
      </c>
      <c r="G26" s="65">
        <v>100</v>
      </c>
      <c r="H26" s="64" t="e">
        <f t="shared" si="2"/>
        <v>#NAME?</v>
      </c>
      <c r="I26" s="65">
        <v>6</v>
      </c>
      <c r="J26" s="66"/>
      <c r="K26" s="66" t="e">
        <f t="shared" si="3"/>
        <v>#NAME?</v>
      </c>
    </row>
    <row r="27" spans="1:256" ht="19.899999999999999" customHeight="1" x14ac:dyDescent="0.25">
      <c r="A27" s="67" t="s">
        <v>78</v>
      </c>
      <c r="B27" s="68" t="s">
        <v>79</v>
      </c>
      <c r="C27" s="35" t="e">
        <f>sheet1 #REF!</f>
        <v>#NAME?</v>
      </c>
      <c r="D27" s="55" t="e">
        <f t="shared" si="0"/>
        <v>#NAME?</v>
      </c>
      <c r="E27" s="55" t="e">
        <f t="shared" si="4"/>
        <v>#NAME?</v>
      </c>
      <c r="F27" s="55" t="e">
        <f t="shared" si="1"/>
        <v>#NAME?</v>
      </c>
      <c r="G27" s="56">
        <v>100</v>
      </c>
      <c r="H27" s="55" t="e">
        <f t="shared" si="2"/>
        <v>#NAME?</v>
      </c>
      <c r="I27" s="56">
        <v>3</v>
      </c>
      <c r="J27" s="57"/>
      <c r="K27" s="57" t="e">
        <f t="shared" si="3"/>
        <v>#NAME?</v>
      </c>
    </row>
    <row r="28" spans="1:256" ht="19.899999999999999" customHeight="1" x14ac:dyDescent="0.25">
      <c r="A28" s="43">
        <v>387992</v>
      </c>
      <c r="B28" s="43" t="s">
        <v>80</v>
      </c>
      <c r="C28" s="35" t="e">
        <f>sheet1 #REF!</f>
        <v>#NAME?</v>
      </c>
      <c r="D28" s="35" t="e">
        <f t="shared" si="0"/>
        <v>#NAME?</v>
      </c>
      <c r="E28" s="35" t="e">
        <f t="shared" si="4"/>
        <v>#NAME?</v>
      </c>
      <c r="F28" s="35" t="e">
        <f t="shared" si="1"/>
        <v>#NAME?</v>
      </c>
      <c r="G28" s="36">
        <v>100</v>
      </c>
      <c r="H28" s="35" t="e">
        <f t="shared" si="2"/>
        <v>#NAME?</v>
      </c>
      <c r="I28" s="36">
        <v>3</v>
      </c>
      <c r="J28" s="38"/>
      <c r="K28" s="38" t="e">
        <f t="shared" si="3"/>
        <v>#NAME?</v>
      </c>
    </row>
    <row r="29" spans="1:256" ht="19.899999999999999" customHeight="1" x14ac:dyDescent="0.25">
      <c r="A29" s="43">
        <v>33000</v>
      </c>
      <c r="B29" s="43" t="s">
        <v>81</v>
      </c>
      <c r="C29" s="35" t="e">
        <f>sheet1 #REF!</f>
        <v>#NAME?</v>
      </c>
      <c r="D29" s="35" t="e">
        <f t="shared" si="0"/>
        <v>#NAME?</v>
      </c>
      <c r="E29" s="35" t="e">
        <f t="shared" si="4"/>
        <v>#NAME?</v>
      </c>
      <c r="F29" s="35" t="e">
        <f t="shared" si="1"/>
        <v>#NAME?</v>
      </c>
      <c r="G29" s="36">
        <v>100</v>
      </c>
      <c r="H29" s="35" t="e">
        <f t="shared" si="2"/>
        <v>#NAME?</v>
      </c>
      <c r="I29" s="36">
        <v>12</v>
      </c>
      <c r="J29" s="38"/>
      <c r="K29" s="38" t="e">
        <f t="shared" si="3"/>
        <v>#NAME?</v>
      </c>
    </row>
    <row r="30" spans="1:256" ht="19.899999999999999" customHeight="1" x14ac:dyDescent="0.25">
      <c r="A30" s="43" t="s">
        <v>82</v>
      </c>
      <c r="B30" s="43" t="s">
        <v>83</v>
      </c>
      <c r="C30" s="35" t="e">
        <f>sheet1 #REF!</f>
        <v>#NAME?</v>
      </c>
      <c r="D30" s="35" t="e">
        <f t="shared" si="0"/>
        <v>#NAME?</v>
      </c>
      <c r="E30" s="35" t="e">
        <f t="shared" si="4"/>
        <v>#NAME?</v>
      </c>
      <c r="F30" s="35" t="e">
        <f t="shared" si="1"/>
        <v>#NAME?</v>
      </c>
      <c r="G30" s="36">
        <v>100</v>
      </c>
      <c r="H30" s="35" t="e">
        <f t="shared" si="2"/>
        <v>#NAME?</v>
      </c>
      <c r="I30" s="36">
        <v>12</v>
      </c>
      <c r="J30" s="38"/>
      <c r="K30" s="38" t="e">
        <f t="shared" si="3"/>
        <v>#NAME?</v>
      </c>
    </row>
    <row r="31" spans="1:256" ht="19.899999999999999" customHeight="1" x14ac:dyDescent="0.25">
      <c r="A31" s="58" t="s">
        <v>84</v>
      </c>
      <c r="B31" s="58" t="s">
        <v>85</v>
      </c>
      <c r="C31" s="35" t="e">
        <f>sheet1 #REF!</f>
        <v>#NAME?</v>
      </c>
      <c r="D31" s="35" t="e">
        <f t="shared" si="0"/>
        <v>#NAME?</v>
      </c>
      <c r="E31" s="35" t="e">
        <f t="shared" si="4"/>
        <v>#NAME?</v>
      </c>
      <c r="F31" s="35" t="e">
        <f t="shared" si="1"/>
        <v>#NAME?</v>
      </c>
      <c r="G31" s="36">
        <v>100</v>
      </c>
      <c r="H31" s="35" t="e">
        <f t="shared" si="2"/>
        <v>#NAME?</v>
      </c>
      <c r="I31" s="36">
        <v>12</v>
      </c>
      <c r="J31" s="38"/>
      <c r="K31" s="38" t="e">
        <f t="shared" si="3"/>
        <v>#NAME?</v>
      </c>
    </row>
    <row r="32" spans="1:256" ht="19.899999999999999" customHeight="1" x14ac:dyDescent="0.25">
      <c r="A32" s="43">
        <v>33020</v>
      </c>
      <c r="B32" s="43" t="s">
        <v>86</v>
      </c>
      <c r="C32" s="35" t="e">
        <f>sheet1 #REF!</f>
        <v>#NAME?</v>
      </c>
      <c r="D32" s="35" t="e">
        <f t="shared" si="0"/>
        <v>#NAME?</v>
      </c>
      <c r="E32" s="35" t="e">
        <f t="shared" si="4"/>
        <v>#NAME?</v>
      </c>
      <c r="F32" s="35" t="e">
        <f t="shared" si="1"/>
        <v>#NAME?</v>
      </c>
      <c r="G32" s="36">
        <v>100</v>
      </c>
      <c r="H32" s="35" t="e">
        <f t="shared" si="2"/>
        <v>#NAME?</v>
      </c>
      <c r="I32" s="36">
        <v>6</v>
      </c>
      <c r="J32" s="38"/>
      <c r="K32" s="38" t="e">
        <f t="shared" si="3"/>
        <v>#NAME?</v>
      </c>
    </row>
    <row r="33" spans="1:12" ht="19.899999999999999" customHeight="1" x14ac:dyDescent="0.25">
      <c r="A33" s="43">
        <v>34430</v>
      </c>
      <c r="B33" s="44" t="s">
        <v>87</v>
      </c>
      <c r="C33" s="35" t="e">
        <f>sheet1 #REF!</f>
        <v>#NAME?</v>
      </c>
      <c r="D33" s="35" t="e">
        <f t="shared" si="0"/>
        <v>#NAME?</v>
      </c>
      <c r="E33" s="35" t="e">
        <f t="shared" si="4"/>
        <v>#NAME?</v>
      </c>
      <c r="F33" s="35" t="e">
        <f t="shared" si="1"/>
        <v>#NAME?</v>
      </c>
      <c r="G33" s="36">
        <v>100</v>
      </c>
      <c r="H33" s="35" t="e">
        <f t="shared" si="2"/>
        <v>#NAME?</v>
      </c>
      <c r="I33" s="36">
        <v>6</v>
      </c>
      <c r="J33" s="57"/>
      <c r="K33" s="57" t="e">
        <f t="shared" si="3"/>
        <v>#NAME?</v>
      </c>
    </row>
    <row r="34" spans="1:12" ht="19.899999999999999" customHeight="1" x14ac:dyDescent="0.25">
      <c r="A34" s="43" t="s">
        <v>88</v>
      </c>
      <c r="B34" s="44" t="s">
        <v>89</v>
      </c>
      <c r="C34" s="35" t="e">
        <f>sheet1 #REF!</f>
        <v>#NAME?</v>
      </c>
      <c r="D34" s="35" t="e">
        <f t="shared" si="0"/>
        <v>#NAME?</v>
      </c>
      <c r="E34" s="35" t="e">
        <f t="shared" si="4"/>
        <v>#NAME?</v>
      </c>
      <c r="F34" s="35" t="e">
        <f t="shared" si="1"/>
        <v>#NAME?</v>
      </c>
      <c r="G34" s="36">
        <v>100</v>
      </c>
      <c r="H34" s="35" t="e">
        <f t="shared" si="2"/>
        <v>#NAME?</v>
      </c>
      <c r="I34" s="36">
        <v>6</v>
      </c>
      <c r="J34" s="38"/>
      <c r="K34" s="38" t="e">
        <f t="shared" si="3"/>
        <v>#NAME?</v>
      </c>
    </row>
    <row r="35" spans="1:12" ht="19.899999999999999" customHeight="1" x14ac:dyDescent="0.25">
      <c r="A35" s="43" t="s">
        <v>90</v>
      </c>
      <c r="B35" s="44" t="s">
        <v>91</v>
      </c>
      <c r="C35" s="35" t="e">
        <f>sheet1 #REF!</f>
        <v>#NAME?</v>
      </c>
      <c r="D35" s="35" t="e">
        <f t="shared" si="0"/>
        <v>#NAME?</v>
      </c>
      <c r="E35" s="35" t="e">
        <f t="shared" si="4"/>
        <v>#NAME?</v>
      </c>
      <c r="F35" s="35" t="e">
        <f t="shared" si="1"/>
        <v>#NAME?</v>
      </c>
      <c r="G35" s="36">
        <v>100</v>
      </c>
      <c r="H35" s="35" t="e">
        <f t="shared" si="2"/>
        <v>#NAME?</v>
      </c>
      <c r="I35" s="36">
        <v>6</v>
      </c>
      <c r="J35" s="38"/>
      <c r="K35" s="38" t="e">
        <f t="shared" si="3"/>
        <v>#NAME?</v>
      </c>
    </row>
    <row r="36" spans="1:12" ht="19.899999999999999" customHeight="1" x14ac:dyDescent="0.25">
      <c r="A36" s="43" t="s">
        <v>92</v>
      </c>
      <c r="B36" s="44" t="s">
        <v>93</v>
      </c>
      <c r="C36" s="35" t="e">
        <f>sheet1 #REF!</f>
        <v>#NAME?</v>
      </c>
      <c r="D36" s="35" t="e">
        <f t="shared" ref="D36:D66" si="5">IF(increase=0,ROUND(C36*1,0),ROUND(C36+C36*(increase/100),0))</f>
        <v>#NAME?</v>
      </c>
      <c r="E36" s="35" t="e">
        <f t="shared" si="4"/>
        <v>#NAME?</v>
      </c>
      <c r="F36" s="35" t="e">
        <f t="shared" ref="F36:F66" si="6">ABS(E36-D36)</f>
        <v>#NAME?</v>
      </c>
      <c r="G36" s="36">
        <v>100</v>
      </c>
      <c r="H36" s="35" t="e">
        <f t="shared" ref="H36:H66" si="7">ROUND((E36/G36+0.499999),0)</f>
        <v>#NAME?</v>
      </c>
      <c r="I36" s="36">
        <v>6</v>
      </c>
      <c r="J36" s="38"/>
      <c r="K36" s="38" t="e">
        <f t="shared" ref="K36:K64" si="8">H36*J36</f>
        <v>#NAME?</v>
      </c>
    </row>
    <row r="37" spans="1:12" ht="19.899999999999999" customHeight="1" x14ac:dyDescent="0.25">
      <c r="A37" s="43" t="s">
        <v>94</v>
      </c>
      <c r="B37" s="44" t="s">
        <v>95</v>
      </c>
      <c r="C37" s="35" t="e">
        <f>sheet1 #REF!</f>
        <v>#NAME?</v>
      </c>
      <c r="D37" s="35" t="e">
        <f t="shared" si="5"/>
        <v>#NAME?</v>
      </c>
      <c r="E37" s="35" t="e">
        <f t="shared" si="4"/>
        <v>#NAME?</v>
      </c>
      <c r="F37" s="35" t="e">
        <f t="shared" si="6"/>
        <v>#NAME?</v>
      </c>
      <c r="G37" s="36">
        <v>100</v>
      </c>
      <c r="H37" s="35" t="e">
        <f t="shared" si="7"/>
        <v>#NAME?</v>
      </c>
      <c r="I37" s="36">
        <v>6</v>
      </c>
      <c r="J37" s="38"/>
      <c r="K37" s="38" t="e">
        <f t="shared" si="8"/>
        <v>#NAME?</v>
      </c>
    </row>
    <row r="38" spans="1:12" ht="19.899999999999999" customHeight="1" x14ac:dyDescent="0.25">
      <c r="A38" s="43">
        <v>34470</v>
      </c>
      <c r="B38" s="44" t="s">
        <v>96</v>
      </c>
      <c r="C38" s="35" t="e">
        <f>sheet1 #REF!</f>
        <v>#NAME?</v>
      </c>
      <c r="D38" s="35" t="e">
        <f t="shared" si="5"/>
        <v>#NAME?</v>
      </c>
      <c r="E38" s="35" t="e">
        <f t="shared" si="4"/>
        <v>#NAME?</v>
      </c>
      <c r="F38" s="35" t="e">
        <f t="shared" si="6"/>
        <v>#NAME?</v>
      </c>
      <c r="G38" s="36">
        <v>100</v>
      </c>
      <c r="H38" s="35" t="e">
        <f t="shared" si="7"/>
        <v>#NAME?</v>
      </c>
      <c r="I38" s="36">
        <v>6</v>
      </c>
      <c r="J38" s="38"/>
      <c r="K38" s="38" t="e">
        <f t="shared" si="8"/>
        <v>#NAME?</v>
      </c>
    </row>
    <row r="39" spans="1:12" ht="19.899999999999999" customHeight="1" x14ac:dyDescent="0.25">
      <c r="A39" s="43">
        <v>33210</v>
      </c>
      <c r="B39" s="43" t="s">
        <v>97</v>
      </c>
      <c r="C39" s="35" t="e">
        <f>sheet1 #REF!</f>
        <v>#NAME?</v>
      </c>
      <c r="D39" s="35" t="e">
        <f t="shared" si="5"/>
        <v>#NAME?</v>
      </c>
      <c r="E39" s="35" t="e">
        <f t="shared" si="4"/>
        <v>#NAME?</v>
      </c>
      <c r="F39" s="35" t="e">
        <f t="shared" si="6"/>
        <v>#NAME?</v>
      </c>
      <c r="G39" s="36">
        <v>100</v>
      </c>
      <c r="H39" s="35" t="e">
        <f t="shared" si="7"/>
        <v>#NAME?</v>
      </c>
      <c r="I39" s="36">
        <v>6</v>
      </c>
      <c r="J39" s="38"/>
      <c r="K39" s="38" t="e">
        <f t="shared" si="8"/>
        <v>#NAME?</v>
      </c>
    </row>
    <row r="40" spans="1:12" ht="19.899999999999999" customHeight="1" x14ac:dyDescent="0.25">
      <c r="A40" s="58">
        <v>386357</v>
      </c>
      <c r="B40" s="58" t="s">
        <v>98</v>
      </c>
      <c r="C40" s="35" t="e">
        <f>sheet1 #REF!</f>
        <v>#NAME?</v>
      </c>
      <c r="D40" s="35" t="e">
        <f t="shared" si="5"/>
        <v>#NAME?</v>
      </c>
      <c r="E40" s="35" t="e">
        <f t="shared" si="4"/>
        <v>#NAME?</v>
      </c>
      <c r="F40" s="35" t="e">
        <f t="shared" si="6"/>
        <v>#NAME?</v>
      </c>
      <c r="G40" s="59">
        <v>100</v>
      </c>
      <c r="H40" s="55" t="e">
        <f t="shared" si="7"/>
        <v>#NAME?</v>
      </c>
      <c r="I40" s="59">
        <v>6</v>
      </c>
      <c r="J40" s="38"/>
      <c r="K40" s="38" t="e">
        <f t="shared" si="8"/>
        <v>#NAME?</v>
      </c>
    </row>
    <row r="41" spans="1:12" ht="19.899999999999999" customHeight="1" x14ac:dyDescent="0.25">
      <c r="A41" s="58">
        <v>387687</v>
      </c>
      <c r="B41" s="58" t="s">
        <v>99</v>
      </c>
      <c r="C41" s="35" t="e">
        <f>sheet1 #REF!</f>
        <v>#NAME?</v>
      </c>
      <c r="D41" s="35" t="e">
        <f t="shared" si="5"/>
        <v>#NAME?</v>
      </c>
      <c r="E41" s="35" t="e">
        <f t="shared" si="4"/>
        <v>#NAME?</v>
      </c>
      <c r="F41" s="35" t="e">
        <f t="shared" si="6"/>
        <v>#NAME?</v>
      </c>
      <c r="G41" s="59">
        <v>100</v>
      </c>
      <c r="H41" s="55" t="e">
        <f t="shared" si="7"/>
        <v>#NAME?</v>
      </c>
      <c r="I41" s="59">
        <v>3</v>
      </c>
      <c r="J41" s="38"/>
      <c r="K41" s="38" t="e">
        <f t="shared" si="8"/>
        <v>#NAME?</v>
      </c>
    </row>
    <row r="42" spans="1:12" ht="19.899999999999999" customHeight="1" x14ac:dyDescent="0.25">
      <c r="A42" s="58">
        <v>387620</v>
      </c>
      <c r="B42" s="58" t="s">
        <v>100</v>
      </c>
      <c r="C42" s="35" t="e">
        <f>sheet1 #REF!</f>
        <v>#NAME?</v>
      </c>
      <c r="D42" s="35" t="e">
        <f t="shared" si="5"/>
        <v>#NAME?</v>
      </c>
      <c r="E42" s="35" t="e">
        <f t="shared" si="4"/>
        <v>#NAME?</v>
      </c>
      <c r="F42" s="35" t="e">
        <f t="shared" si="6"/>
        <v>#NAME?</v>
      </c>
      <c r="G42" s="59">
        <v>100</v>
      </c>
      <c r="H42" s="55" t="e">
        <f t="shared" si="7"/>
        <v>#NAME?</v>
      </c>
      <c r="I42" s="59">
        <v>3</v>
      </c>
      <c r="J42" s="38"/>
      <c r="K42" s="38" t="e">
        <f t="shared" si="8"/>
        <v>#NAME?</v>
      </c>
    </row>
    <row r="43" spans="1:12" ht="19.899999999999999" customHeight="1" x14ac:dyDescent="0.25">
      <c r="A43" s="58">
        <v>37200</v>
      </c>
      <c r="B43" s="58" t="s">
        <v>101</v>
      </c>
      <c r="C43" s="35" t="e">
        <f>sheet1 #REF!</f>
        <v>#NAME?</v>
      </c>
      <c r="D43" s="35" t="e">
        <f t="shared" si="5"/>
        <v>#NAME?</v>
      </c>
      <c r="E43" s="35" t="e">
        <f t="shared" si="4"/>
        <v>#NAME?</v>
      </c>
      <c r="F43" s="35" t="e">
        <f t="shared" si="6"/>
        <v>#NAME?</v>
      </c>
      <c r="G43" s="59">
        <v>100</v>
      </c>
      <c r="H43" s="35" t="e">
        <f t="shared" si="7"/>
        <v>#NAME?</v>
      </c>
      <c r="I43" s="59">
        <v>6</v>
      </c>
      <c r="J43" s="38"/>
      <c r="K43" s="38" t="e">
        <f t="shared" si="8"/>
        <v>#NAME?</v>
      </c>
    </row>
    <row r="44" spans="1:12" ht="19.899999999999999" customHeight="1" x14ac:dyDescent="0.25">
      <c r="A44" s="58">
        <v>37210</v>
      </c>
      <c r="B44" s="58" t="s">
        <v>102</v>
      </c>
      <c r="C44" s="35" t="e">
        <f>sheet1 #REF!</f>
        <v>#NAME?</v>
      </c>
      <c r="D44" s="35" t="e">
        <f t="shared" si="5"/>
        <v>#NAME?</v>
      </c>
      <c r="E44" s="35" t="e">
        <f t="shared" si="4"/>
        <v>#NAME?</v>
      </c>
      <c r="F44" s="62" t="e">
        <f t="shared" si="6"/>
        <v>#NAME?</v>
      </c>
      <c r="G44" s="59">
        <v>100</v>
      </c>
      <c r="H44" s="35" t="e">
        <f t="shared" si="7"/>
        <v>#NAME?</v>
      </c>
      <c r="I44" s="59">
        <v>6</v>
      </c>
      <c r="J44" s="38"/>
      <c r="K44" s="38" t="e">
        <f t="shared" si="8"/>
        <v>#NAME?</v>
      </c>
    </row>
    <row r="45" spans="1:12" ht="19.899999999999999" customHeight="1" x14ac:dyDescent="0.25">
      <c r="A45" s="69" t="s">
        <v>103</v>
      </c>
      <c r="B45" s="69" t="s">
        <v>104</v>
      </c>
      <c r="C45" s="35" t="e">
        <f>sheet1 #REF!</f>
        <v>#NAME?</v>
      </c>
      <c r="D45" s="70" t="e">
        <f t="shared" si="5"/>
        <v>#NAME?</v>
      </c>
      <c r="E45" s="70" t="e">
        <f t="shared" si="4"/>
        <v>#NAME?</v>
      </c>
      <c r="F45" s="71" t="e">
        <f t="shared" si="6"/>
        <v>#NAME?</v>
      </c>
      <c r="G45" s="72">
        <v>100</v>
      </c>
      <c r="H45" s="70" t="e">
        <f t="shared" si="7"/>
        <v>#NAME?</v>
      </c>
      <c r="I45" s="72">
        <v>6</v>
      </c>
      <c r="J45" s="73"/>
      <c r="K45" s="73" t="e">
        <f t="shared" si="8"/>
        <v>#NAME?</v>
      </c>
    </row>
    <row r="46" spans="1:12" ht="19.899999999999999" customHeight="1" x14ac:dyDescent="0.25">
      <c r="A46" s="43">
        <v>33200</v>
      </c>
      <c r="B46" s="43" t="s">
        <v>105</v>
      </c>
      <c r="C46" s="35" t="e">
        <f>sheet1 #REF!</f>
        <v>#NAME?</v>
      </c>
      <c r="D46" s="35" t="e">
        <f t="shared" si="5"/>
        <v>#NAME?</v>
      </c>
      <c r="E46" s="35" t="e">
        <f t="shared" si="4"/>
        <v>#NAME?</v>
      </c>
      <c r="F46" s="35" t="e">
        <f t="shared" si="6"/>
        <v>#NAME?</v>
      </c>
      <c r="G46" s="36">
        <v>100</v>
      </c>
      <c r="H46" s="35" t="e">
        <f t="shared" si="7"/>
        <v>#NAME?</v>
      </c>
      <c r="I46" s="36">
        <v>6</v>
      </c>
      <c r="J46" s="38"/>
      <c r="K46" s="38" t="e">
        <f t="shared" si="8"/>
        <v>#NAME?</v>
      </c>
      <c r="L46" s="74"/>
    </row>
    <row r="47" spans="1:12" s="53" customFormat="1" ht="19.899999999999999" customHeight="1" x14ac:dyDescent="0.2">
      <c r="A47" s="75" t="s">
        <v>106</v>
      </c>
      <c r="B47" s="75" t="s">
        <v>107</v>
      </c>
      <c r="C47" s="35" t="e">
        <f>sheet1 #REF!</f>
        <v>#NAME?</v>
      </c>
      <c r="D47" s="46" t="e">
        <f t="shared" si="5"/>
        <v>#NAME?</v>
      </c>
      <c r="E47" s="46" t="e">
        <f t="shared" si="4"/>
        <v>#NAME?</v>
      </c>
      <c r="F47" s="46" t="e">
        <f t="shared" si="6"/>
        <v>#NAME?</v>
      </c>
      <c r="G47" s="47">
        <v>100</v>
      </c>
      <c r="H47" s="46" t="e">
        <f t="shared" si="7"/>
        <v>#NAME?</v>
      </c>
      <c r="I47" s="47">
        <v>6</v>
      </c>
      <c r="J47" s="48"/>
      <c r="K47" s="48" t="e">
        <f t="shared" si="8"/>
        <v>#NAME?</v>
      </c>
    </row>
    <row r="48" spans="1:12" ht="19.899999999999999" customHeight="1" x14ac:dyDescent="0.25">
      <c r="A48" s="76">
        <v>37300</v>
      </c>
      <c r="B48" s="76" t="s">
        <v>108</v>
      </c>
      <c r="C48" s="35" t="e">
        <f>sheet1 #REF!</f>
        <v>#NAME?</v>
      </c>
      <c r="D48" s="55" t="e">
        <f t="shared" si="5"/>
        <v>#NAME?</v>
      </c>
      <c r="E48" s="55" t="e">
        <f t="shared" si="4"/>
        <v>#NAME?</v>
      </c>
      <c r="F48" s="55" t="e">
        <f t="shared" si="6"/>
        <v>#NAME?</v>
      </c>
      <c r="G48" s="56">
        <v>100</v>
      </c>
      <c r="H48" s="55" t="e">
        <f t="shared" si="7"/>
        <v>#NAME?</v>
      </c>
      <c r="I48" s="77">
        <v>6</v>
      </c>
      <c r="J48" s="57"/>
      <c r="K48" s="57" t="e">
        <f t="shared" si="8"/>
        <v>#NAME?</v>
      </c>
    </row>
    <row r="49" spans="1:256" ht="19.899999999999999" customHeight="1" x14ac:dyDescent="0.25">
      <c r="A49" s="34" t="s">
        <v>109</v>
      </c>
      <c r="B49" s="34" t="s">
        <v>110</v>
      </c>
      <c r="C49" s="35" t="e">
        <f>sheet1 #REF!</f>
        <v>#NAME?</v>
      </c>
      <c r="D49" s="55" t="e">
        <f t="shared" si="5"/>
        <v>#NAME?</v>
      </c>
      <c r="E49" s="55" t="e">
        <f t="shared" si="4"/>
        <v>#NAME?</v>
      </c>
      <c r="F49" s="55" t="e">
        <f t="shared" si="6"/>
        <v>#NAME?</v>
      </c>
      <c r="G49" s="56">
        <v>100</v>
      </c>
      <c r="H49" s="35" t="e">
        <f t="shared" si="7"/>
        <v>#NAME?</v>
      </c>
      <c r="I49" s="36">
        <v>6</v>
      </c>
      <c r="J49" s="38"/>
      <c r="K49" s="38" t="e">
        <f t="shared" si="8"/>
        <v>#NAME?</v>
      </c>
    </row>
    <row r="50" spans="1:256" ht="19.899999999999999" customHeight="1" x14ac:dyDescent="0.25">
      <c r="A50" s="43">
        <v>33580</v>
      </c>
      <c r="B50" s="43" t="s">
        <v>111</v>
      </c>
      <c r="C50" s="35" t="e">
        <f>sheet1 #REF!</f>
        <v>#NAME?</v>
      </c>
      <c r="D50" s="35" t="e">
        <f t="shared" si="5"/>
        <v>#NAME?</v>
      </c>
      <c r="E50" s="35" t="e">
        <f t="shared" si="4"/>
        <v>#NAME?</v>
      </c>
      <c r="F50" s="35" t="e">
        <f t="shared" si="6"/>
        <v>#NAME?</v>
      </c>
      <c r="G50" s="78">
        <v>100</v>
      </c>
      <c r="H50" s="79" t="e">
        <f t="shared" si="7"/>
        <v>#NAME?</v>
      </c>
      <c r="I50" s="36">
        <v>6</v>
      </c>
      <c r="J50" s="38"/>
      <c r="K50" s="38" t="e">
        <f t="shared" si="8"/>
        <v>#NAME?</v>
      </c>
    </row>
    <row r="51" spans="1:256" ht="19.899999999999999" customHeight="1" x14ac:dyDescent="0.25">
      <c r="A51" s="67" t="s">
        <v>112</v>
      </c>
      <c r="B51" s="67" t="s">
        <v>113</v>
      </c>
      <c r="C51" s="35" t="e">
        <f>sheet1 #REF!</f>
        <v>#NAME?</v>
      </c>
      <c r="D51" s="35" t="e">
        <f t="shared" si="5"/>
        <v>#NAME?</v>
      </c>
      <c r="E51" s="55">
        <v>0</v>
      </c>
      <c r="F51" s="55" t="e">
        <f t="shared" si="6"/>
        <v>#NAME?</v>
      </c>
      <c r="G51" s="80">
        <v>100</v>
      </c>
      <c r="H51" s="81">
        <f t="shared" si="7"/>
        <v>0</v>
      </c>
      <c r="I51" s="56">
        <v>6</v>
      </c>
      <c r="J51" s="57"/>
      <c r="K51" s="57">
        <f t="shared" si="8"/>
        <v>0</v>
      </c>
    </row>
    <row r="52" spans="1:256" s="53" customFormat="1" ht="19.899999999999999" customHeight="1" x14ac:dyDescent="0.2">
      <c r="A52" s="75">
        <v>33410</v>
      </c>
      <c r="B52" s="75" t="s">
        <v>114</v>
      </c>
      <c r="C52" s="35" t="e">
        <f>sheet1 #REF!</f>
        <v>#NAME?</v>
      </c>
      <c r="D52" s="46" t="e">
        <f t="shared" si="5"/>
        <v>#NAME?</v>
      </c>
      <c r="E52" s="46" t="e">
        <f t="shared" ref="E52:E66" si="9">IF(D52&gt;0,ROUND(D52*((rerun/100)+1)+(cont*365),0),ROUND(D52,0))</f>
        <v>#NAME?</v>
      </c>
      <c r="F52" s="46" t="e">
        <f t="shared" si="6"/>
        <v>#NAME?</v>
      </c>
      <c r="G52" s="47">
        <v>100</v>
      </c>
      <c r="H52" s="46" t="e">
        <f t="shared" si="7"/>
        <v>#NAME?</v>
      </c>
      <c r="I52" s="47">
        <v>6</v>
      </c>
      <c r="J52" s="48"/>
      <c r="K52" s="48" t="e">
        <f t="shared" si="8"/>
        <v>#NAME?</v>
      </c>
      <c r="L52" s="49"/>
      <c r="M52" s="49"/>
      <c r="N52" s="50"/>
      <c r="O52" s="50"/>
      <c r="P52" s="50"/>
      <c r="Q52" s="51"/>
      <c r="R52" s="51"/>
      <c r="S52" s="50"/>
      <c r="T52" s="51"/>
      <c r="U52" s="52"/>
      <c r="V52" s="52"/>
      <c r="W52" s="49"/>
      <c r="X52" s="49"/>
      <c r="Y52" s="50"/>
      <c r="Z52" s="50"/>
      <c r="AA52" s="50"/>
      <c r="AB52" s="51"/>
      <c r="AC52" s="51"/>
      <c r="AD52" s="50"/>
      <c r="AE52" s="51"/>
      <c r="AF52" s="52"/>
      <c r="AG52" s="52"/>
      <c r="AH52" s="49"/>
      <c r="AI52" s="49"/>
      <c r="AJ52" s="50"/>
      <c r="AK52" s="50"/>
      <c r="AL52" s="50"/>
      <c r="AM52" s="51"/>
      <c r="AN52" s="51"/>
      <c r="AO52" s="50"/>
      <c r="AP52" s="51"/>
      <c r="AQ52" s="52"/>
      <c r="AR52" s="52"/>
      <c r="AS52" s="49"/>
      <c r="AT52" s="49"/>
      <c r="AU52" s="50"/>
      <c r="AV52" s="50"/>
      <c r="AW52" s="50"/>
      <c r="AX52" s="51"/>
      <c r="AY52" s="51"/>
      <c r="AZ52" s="50"/>
      <c r="BA52" s="51"/>
      <c r="BB52" s="52"/>
      <c r="BC52" s="52"/>
      <c r="BD52" s="49"/>
      <c r="BE52" s="49"/>
      <c r="BF52" s="50"/>
      <c r="BG52" s="50"/>
      <c r="BH52" s="50"/>
      <c r="BI52" s="51"/>
      <c r="BJ52" s="51"/>
      <c r="BK52" s="50"/>
      <c r="BL52" s="51"/>
      <c r="BM52" s="52"/>
      <c r="BN52" s="52"/>
      <c r="BO52" s="49"/>
      <c r="BP52" s="49"/>
      <c r="BQ52" s="50"/>
      <c r="BR52" s="50"/>
      <c r="BS52" s="50"/>
      <c r="BT52" s="51"/>
      <c r="BU52" s="51"/>
      <c r="BV52" s="50"/>
      <c r="BW52" s="51"/>
      <c r="BX52" s="52"/>
      <c r="BY52" s="52"/>
      <c r="BZ52" s="49"/>
      <c r="CA52" s="49"/>
      <c r="CB52" s="50"/>
      <c r="CC52" s="50"/>
      <c r="CD52" s="50"/>
      <c r="CE52" s="51"/>
      <c r="CF52" s="51"/>
      <c r="CG52" s="50"/>
      <c r="CH52" s="51"/>
      <c r="CI52" s="52"/>
      <c r="CJ52" s="52"/>
      <c r="CK52" s="49"/>
      <c r="CL52" s="49"/>
      <c r="CM52" s="50"/>
      <c r="CN52" s="50"/>
      <c r="CO52" s="50"/>
      <c r="CP52" s="51"/>
      <c r="CQ52" s="51"/>
      <c r="CR52" s="50"/>
      <c r="CS52" s="51"/>
      <c r="CT52" s="52"/>
      <c r="CU52" s="52"/>
      <c r="CV52" s="49"/>
      <c r="CW52" s="49"/>
      <c r="CX52" s="50"/>
      <c r="CY52" s="50"/>
      <c r="CZ52" s="50"/>
      <c r="DA52" s="51"/>
      <c r="DB52" s="51"/>
      <c r="DC52" s="50"/>
      <c r="DD52" s="51"/>
      <c r="DE52" s="52"/>
      <c r="DF52" s="52"/>
      <c r="DG52" s="49"/>
      <c r="DH52" s="49"/>
      <c r="DI52" s="50"/>
      <c r="DJ52" s="50"/>
      <c r="DK52" s="50"/>
      <c r="DL52" s="51"/>
      <c r="DM52" s="51"/>
      <c r="DN52" s="50"/>
      <c r="DO52" s="51"/>
      <c r="DP52" s="52"/>
      <c r="DQ52" s="52"/>
      <c r="DR52" s="49"/>
      <c r="DS52" s="49"/>
      <c r="DT52" s="50"/>
      <c r="DU52" s="50"/>
      <c r="DV52" s="50"/>
      <c r="DW52" s="51"/>
      <c r="DX52" s="51"/>
      <c r="DY52" s="50"/>
      <c r="DZ52" s="51"/>
      <c r="EA52" s="52"/>
      <c r="EB52" s="52"/>
      <c r="EC52" s="49"/>
      <c r="ED52" s="49"/>
      <c r="EE52" s="50"/>
      <c r="EF52" s="50"/>
      <c r="EG52" s="50"/>
      <c r="EH52" s="51"/>
      <c r="EI52" s="51"/>
      <c r="EJ52" s="50"/>
      <c r="EK52" s="51"/>
      <c r="EL52" s="52"/>
      <c r="EM52" s="52"/>
      <c r="EN52" s="49"/>
      <c r="EO52" s="49"/>
      <c r="EP52" s="50"/>
      <c r="EQ52" s="50"/>
      <c r="ER52" s="50"/>
      <c r="ES52" s="51"/>
      <c r="ET52" s="51"/>
      <c r="EU52" s="50"/>
      <c r="EV52" s="51"/>
      <c r="EW52" s="52"/>
      <c r="EX52" s="52"/>
      <c r="EY52" s="49"/>
      <c r="EZ52" s="49"/>
      <c r="FA52" s="50"/>
      <c r="FB52" s="50"/>
      <c r="FC52" s="50"/>
      <c r="FD52" s="51"/>
      <c r="FE52" s="51"/>
      <c r="FF52" s="50"/>
      <c r="FG52" s="51"/>
      <c r="FH52" s="52"/>
      <c r="FI52" s="52"/>
      <c r="FJ52" s="49"/>
      <c r="FK52" s="49"/>
      <c r="FL52" s="50"/>
      <c r="FM52" s="50"/>
      <c r="FN52" s="50"/>
      <c r="FO52" s="51"/>
      <c r="FP52" s="51"/>
      <c r="FQ52" s="50"/>
      <c r="FR52" s="51"/>
      <c r="FS52" s="52"/>
      <c r="FT52" s="52"/>
      <c r="FU52" s="49"/>
      <c r="FV52" s="49"/>
      <c r="FW52" s="50"/>
      <c r="FX52" s="50"/>
      <c r="FY52" s="50"/>
      <c r="FZ52" s="51"/>
      <c r="GA52" s="51"/>
      <c r="GB52" s="50"/>
      <c r="GC52" s="51"/>
      <c r="GD52" s="52"/>
      <c r="GE52" s="52"/>
      <c r="GF52" s="49"/>
      <c r="GG52" s="49"/>
      <c r="GH52" s="50"/>
      <c r="GI52" s="50"/>
      <c r="GJ52" s="50"/>
      <c r="GK52" s="51"/>
      <c r="GL52" s="51"/>
      <c r="GM52" s="50"/>
      <c r="GN52" s="51"/>
      <c r="GO52" s="52"/>
      <c r="GP52" s="52"/>
      <c r="GQ52" s="49"/>
      <c r="GR52" s="49"/>
      <c r="GS52" s="50"/>
      <c r="GT52" s="50"/>
      <c r="GU52" s="50"/>
      <c r="GV52" s="51"/>
      <c r="GW52" s="51"/>
      <c r="GX52" s="50"/>
      <c r="GY52" s="51"/>
      <c r="GZ52" s="52"/>
      <c r="HA52" s="52"/>
      <c r="HB52" s="49"/>
      <c r="HC52" s="49"/>
      <c r="HD52" s="50"/>
      <c r="HE52" s="50"/>
      <c r="HF52" s="50"/>
      <c r="HG52" s="51"/>
      <c r="HH52" s="51"/>
      <c r="HI52" s="50"/>
      <c r="HJ52" s="51"/>
      <c r="HK52" s="52"/>
      <c r="HL52" s="52"/>
      <c r="HM52" s="49"/>
      <c r="HN52" s="49"/>
      <c r="HO52" s="50"/>
      <c r="HP52" s="50"/>
      <c r="HQ52" s="50"/>
      <c r="HR52" s="51"/>
      <c r="HS52" s="51"/>
      <c r="HT52" s="50"/>
      <c r="HU52" s="51"/>
      <c r="HV52" s="52"/>
      <c r="HW52" s="52"/>
      <c r="HX52" s="49"/>
      <c r="HY52" s="49"/>
      <c r="HZ52" s="50"/>
      <c r="IA52" s="50"/>
      <c r="IB52" s="50"/>
      <c r="IC52" s="51"/>
      <c r="ID52" s="51"/>
      <c r="IE52" s="50"/>
      <c r="IF52" s="51"/>
      <c r="IG52" s="52"/>
      <c r="IH52" s="52"/>
      <c r="II52" s="49"/>
      <c r="IJ52" s="49"/>
      <c r="IK52" s="50"/>
      <c r="IL52" s="50"/>
      <c r="IM52" s="50"/>
      <c r="IN52" s="51"/>
      <c r="IO52" s="51"/>
      <c r="IP52" s="50"/>
      <c r="IQ52" s="51"/>
      <c r="IR52" s="52"/>
      <c r="IS52" s="52"/>
      <c r="IT52" s="49"/>
      <c r="IU52" s="49"/>
      <c r="IV52" s="50"/>
    </row>
    <row r="53" spans="1:256" s="53" customFormat="1" ht="19.899999999999999" customHeight="1" x14ac:dyDescent="0.2">
      <c r="A53" s="75">
        <v>33600</v>
      </c>
      <c r="B53" s="75" t="s">
        <v>115</v>
      </c>
      <c r="C53" s="35" t="e">
        <f>sheet1 #REF!</f>
        <v>#NAME?</v>
      </c>
      <c r="D53" s="46" t="e">
        <f t="shared" si="5"/>
        <v>#NAME?</v>
      </c>
      <c r="E53" s="46" t="e">
        <f t="shared" si="9"/>
        <v>#NAME?</v>
      </c>
      <c r="F53" s="46" t="e">
        <f t="shared" si="6"/>
        <v>#NAME?</v>
      </c>
      <c r="G53" s="47">
        <v>100</v>
      </c>
      <c r="H53" s="46" t="e">
        <f t="shared" si="7"/>
        <v>#NAME?</v>
      </c>
      <c r="I53" s="47">
        <v>12</v>
      </c>
      <c r="J53" s="48"/>
      <c r="K53" s="48" t="e">
        <f t="shared" si="8"/>
        <v>#NAME?</v>
      </c>
      <c r="L53" s="82"/>
    </row>
    <row r="54" spans="1:256" ht="19.899999999999999" customHeight="1" x14ac:dyDescent="0.25">
      <c r="A54" s="67">
        <v>386371</v>
      </c>
      <c r="B54" s="67" t="s">
        <v>116</v>
      </c>
      <c r="C54" s="35" t="e">
        <f>sheet1 #REF!</f>
        <v>#NAME?</v>
      </c>
      <c r="D54" s="55" t="e">
        <f t="shared" si="5"/>
        <v>#NAME?</v>
      </c>
      <c r="E54" s="55" t="e">
        <f t="shared" si="9"/>
        <v>#NAME?</v>
      </c>
      <c r="F54" s="55" t="e">
        <f t="shared" si="6"/>
        <v>#NAME?</v>
      </c>
      <c r="G54" s="56">
        <v>100</v>
      </c>
      <c r="H54" s="55" t="e">
        <f t="shared" si="7"/>
        <v>#NAME?</v>
      </c>
      <c r="I54" s="56">
        <v>3</v>
      </c>
      <c r="J54" s="57"/>
      <c r="K54" s="57" t="e">
        <f t="shared" si="8"/>
        <v>#NAME?</v>
      </c>
    </row>
    <row r="55" spans="1:256" ht="19.899999999999999" customHeight="1" x14ac:dyDescent="0.25">
      <c r="A55" s="58">
        <v>973243</v>
      </c>
      <c r="B55" s="58" t="s">
        <v>117</v>
      </c>
      <c r="C55" s="35" t="e">
        <f>sheet1 #REF!</f>
        <v>#NAME?</v>
      </c>
      <c r="D55" s="62" t="e">
        <f t="shared" si="5"/>
        <v>#NAME?</v>
      </c>
      <c r="E55" s="62" t="e">
        <f t="shared" si="9"/>
        <v>#NAME?</v>
      </c>
      <c r="F55" s="62" t="e">
        <f t="shared" si="6"/>
        <v>#NAME?</v>
      </c>
      <c r="G55" s="59">
        <v>100</v>
      </c>
      <c r="H55" s="62" t="e">
        <f t="shared" si="7"/>
        <v>#NAME?</v>
      </c>
      <c r="I55" s="59">
        <v>3</v>
      </c>
      <c r="J55" s="38"/>
      <c r="K55" s="38" t="e">
        <f t="shared" si="8"/>
        <v>#NAME?</v>
      </c>
    </row>
    <row r="56" spans="1:256" ht="19.899999999999999" customHeight="1" x14ac:dyDescent="0.25">
      <c r="A56" s="43" t="s">
        <v>118</v>
      </c>
      <c r="B56" s="43" t="s">
        <v>119</v>
      </c>
      <c r="C56" s="35" t="e">
        <f>sheet1 #REF!</f>
        <v>#NAME?</v>
      </c>
      <c r="D56" s="35" t="e">
        <f t="shared" si="5"/>
        <v>#NAME?</v>
      </c>
      <c r="E56" s="35" t="e">
        <f t="shared" si="9"/>
        <v>#NAME?</v>
      </c>
      <c r="F56" s="35" t="e">
        <f t="shared" si="6"/>
        <v>#NAME?</v>
      </c>
      <c r="G56" s="36">
        <v>100</v>
      </c>
      <c r="H56" s="35" t="e">
        <f t="shared" si="7"/>
        <v>#NAME?</v>
      </c>
      <c r="I56" s="36">
        <v>3</v>
      </c>
      <c r="J56" s="38"/>
      <c r="K56" s="38" t="e">
        <f t="shared" si="8"/>
        <v>#NAME?</v>
      </c>
    </row>
    <row r="57" spans="1:256" ht="19.899999999999999" customHeight="1" x14ac:dyDescent="0.25">
      <c r="A57" s="43">
        <v>33710</v>
      </c>
      <c r="B57" s="43" t="s">
        <v>120</v>
      </c>
      <c r="C57" s="35" t="e">
        <f>sheet1 #REF!</f>
        <v>#NAME?</v>
      </c>
      <c r="D57" s="35" t="e">
        <f t="shared" si="5"/>
        <v>#NAME?</v>
      </c>
      <c r="E57" s="35" t="e">
        <f t="shared" si="9"/>
        <v>#NAME?</v>
      </c>
      <c r="F57" s="35" t="e">
        <f t="shared" si="6"/>
        <v>#NAME?</v>
      </c>
      <c r="G57" s="36">
        <v>100</v>
      </c>
      <c r="H57" s="35" t="e">
        <f t="shared" si="7"/>
        <v>#NAME?</v>
      </c>
      <c r="I57" s="36">
        <v>12</v>
      </c>
      <c r="J57" s="38"/>
      <c r="K57" s="38" t="e">
        <f t="shared" si="8"/>
        <v>#NAME?</v>
      </c>
    </row>
    <row r="58" spans="1:256" ht="19.899999999999999" customHeight="1" x14ac:dyDescent="0.25">
      <c r="A58" s="67">
        <v>34200</v>
      </c>
      <c r="B58" s="67" t="s">
        <v>121</v>
      </c>
      <c r="C58" s="35" t="e">
        <f>sheet1 #REF!</f>
        <v>#NAME?</v>
      </c>
      <c r="D58" s="55" t="e">
        <f t="shared" si="5"/>
        <v>#NAME?</v>
      </c>
      <c r="E58" s="55" t="e">
        <f t="shared" si="9"/>
        <v>#NAME?</v>
      </c>
      <c r="F58" s="55" t="e">
        <f t="shared" si="6"/>
        <v>#NAME?</v>
      </c>
      <c r="G58" s="55">
        <v>100</v>
      </c>
      <c r="H58" s="55" t="e">
        <f t="shared" si="7"/>
        <v>#NAME?</v>
      </c>
      <c r="I58" s="56">
        <v>6</v>
      </c>
      <c r="J58" s="57"/>
      <c r="K58" s="57" t="e">
        <f t="shared" si="8"/>
        <v>#NAME?</v>
      </c>
      <c r="L58" s="83"/>
    </row>
    <row r="59" spans="1:256" ht="19.899999999999999" customHeight="1" x14ac:dyDescent="0.25">
      <c r="A59" s="67">
        <v>34210</v>
      </c>
      <c r="B59" s="84" t="s">
        <v>122</v>
      </c>
      <c r="C59" s="35" t="e">
        <f>sheet1 #REF!</f>
        <v>#NAME?</v>
      </c>
      <c r="D59" s="35" t="e">
        <f t="shared" si="5"/>
        <v>#NAME?</v>
      </c>
      <c r="E59" s="55" t="e">
        <f t="shared" si="9"/>
        <v>#NAME?</v>
      </c>
      <c r="F59" s="55" t="e">
        <f t="shared" si="6"/>
        <v>#NAME?</v>
      </c>
      <c r="G59" s="55">
        <v>100</v>
      </c>
      <c r="H59" s="55" t="e">
        <f t="shared" si="7"/>
        <v>#NAME?</v>
      </c>
      <c r="I59" s="56">
        <v>6</v>
      </c>
      <c r="J59" s="38"/>
      <c r="K59" s="38" t="e">
        <f t="shared" si="8"/>
        <v>#NAME?</v>
      </c>
    </row>
    <row r="60" spans="1:256" ht="19.899999999999999" customHeight="1" x14ac:dyDescent="0.25">
      <c r="A60" s="43" t="s">
        <v>123</v>
      </c>
      <c r="B60" s="85" t="s">
        <v>124</v>
      </c>
      <c r="C60" s="35" t="e">
        <f>sheet1 #REF!</f>
        <v>#NAME?</v>
      </c>
      <c r="D60" s="35" t="e">
        <f t="shared" si="5"/>
        <v>#NAME?</v>
      </c>
      <c r="E60" s="55" t="e">
        <f t="shared" si="9"/>
        <v>#NAME?</v>
      </c>
      <c r="F60" s="35" t="e">
        <f t="shared" si="6"/>
        <v>#NAME?</v>
      </c>
      <c r="G60" s="35">
        <v>100</v>
      </c>
      <c r="H60" s="35" t="e">
        <f t="shared" si="7"/>
        <v>#NAME?</v>
      </c>
      <c r="I60" s="36">
        <v>6</v>
      </c>
      <c r="J60" s="38"/>
      <c r="K60" s="38" t="e">
        <f t="shared" si="8"/>
        <v>#NAME?</v>
      </c>
    </row>
    <row r="61" spans="1:256" ht="19.899999999999999" customHeight="1" x14ac:dyDescent="0.25">
      <c r="A61" s="43" t="s">
        <v>125</v>
      </c>
      <c r="B61" s="44" t="s">
        <v>126</v>
      </c>
      <c r="C61" s="35" t="e">
        <f>sheet1 #REF!</f>
        <v>#NAME?</v>
      </c>
      <c r="D61" s="35" t="e">
        <f t="shared" si="5"/>
        <v>#NAME?</v>
      </c>
      <c r="E61" s="55" t="e">
        <f t="shared" si="9"/>
        <v>#NAME?</v>
      </c>
      <c r="F61" s="35" t="e">
        <f t="shared" si="6"/>
        <v>#NAME?</v>
      </c>
      <c r="G61" s="35">
        <v>100</v>
      </c>
      <c r="H61" s="35" t="e">
        <f t="shared" si="7"/>
        <v>#NAME?</v>
      </c>
      <c r="I61" s="36">
        <v>6</v>
      </c>
      <c r="J61" s="38"/>
      <c r="K61" s="38" t="e">
        <f t="shared" si="8"/>
        <v>#NAME?</v>
      </c>
    </row>
    <row r="62" spans="1:256" ht="19.899999999999999" customHeight="1" x14ac:dyDescent="0.25">
      <c r="A62" s="43" t="s">
        <v>127</v>
      </c>
      <c r="B62" s="44" t="s">
        <v>128</v>
      </c>
      <c r="C62" s="35" t="e">
        <f>sheet1 #REF!</f>
        <v>#NAME?</v>
      </c>
      <c r="D62" s="35" t="e">
        <f t="shared" si="5"/>
        <v>#NAME?</v>
      </c>
      <c r="E62" s="35" t="e">
        <f t="shared" si="9"/>
        <v>#NAME?</v>
      </c>
      <c r="F62" s="35" t="e">
        <f t="shared" si="6"/>
        <v>#NAME?</v>
      </c>
      <c r="G62" s="35">
        <v>100</v>
      </c>
      <c r="H62" s="35" t="e">
        <f t="shared" si="7"/>
        <v>#NAME?</v>
      </c>
      <c r="I62" s="36">
        <v>6</v>
      </c>
      <c r="J62" s="38"/>
      <c r="K62" s="38" t="e">
        <f t="shared" si="8"/>
        <v>#NAME?</v>
      </c>
    </row>
    <row r="63" spans="1:256" ht="19.899999999999999" customHeight="1" x14ac:dyDescent="0.25">
      <c r="A63" s="43">
        <v>34240</v>
      </c>
      <c r="B63" s="44" t="s">
        <v>129</v>
      </c>
      <c r="C63" s="35" t="e">
        <f>sheet1 #REF!</f>
        <v>#NAME?</v>
      </c>
      <c r="D63" s="35" t="e">
        <f t="shared" si="5"/>
        <v>#NAME?</v>
      </c>
      <c r="E63" s="35" t="e">
        <f t="shared" si="9"/>
        <v>#NAME?</v>
      </c>
      <c r="F63" s="35" t="e">
        <f t="shared" si="6"/>
        <v>#NAME?</v>
      </c>
      <c r="G63" s="35">
        <v>100</v>
      </c>
      <c r="H63" s="35" t="e">
        <f t="shared" si="7"/>
        <v>#NAME?</v>
      </c>
      <c r="I63" s="36">
        <v>6</v>
      </c>
      <c r="J63" s="38"/>
      <c r="K63" s="38" t="e">
        <f t="shared" si="8"/>
        <v>#NAME?</v>
      </c>
    </row>
    <row r="64" spans="1:256" ht="19.899999999999999" customHeight="1" thickBot="1" x14ac:dyDescent="0.3">
      <c r="A64" s="86">
        <v>34250</v>
      </c>
      <c r="B64" s="87" t="s">
        <v>130</v>
      </c>
      <c r="C64" s="35" t="e">
        <f>sheet1 #REF!</f>
        <v>#NAME?</v>
      </c>
      <c r="D64" s="88" t="e">
        <f t="shared" si="5"/>
        <v>#NAME?</v>
      </c>
      <c r="E64" s="88" t="e">
        <f t="shared" si="9"/>
        <v>#NAME?</v>
      </c>
      <c r="F64" s="88" t="e">
        <f t="shared" si="6"/>
        <v>#NAME?</v>
      </c>
      <c r="G64" s="88">
        <v>100</v>
      </c>
      <c r="H64" s="88" t="e">
        <f t="shared" si="7"/>
        <v>#NAME?</v>
      </c>
      <c r="I64" s="88">
        <v>6</v>
      </c>
      <c r="J64" s="89"/>
      <c r="K64" s="89" t="e">
        <f t="shared" si="8"/>
        <v>#NAME?</v>
      </c>
    </row>
    <row r="65" spans="1:11" ht="19.899999999999999" customHeight="1" thickTop="1" x14ac:dyDescent="0.25">
      <c r="A65" s="90" t="s">
        <v>131</v>
      </c>
      <c r="B65" s="90" t="s">
        <v>132</v>
      </c>
      <c r="C65" s="35" t="e">
        <f>sheet1 #REF!</f>
        <v>#NAME?</v>
      </c>
      <c r="D65" s="91" t="e">
        <f t="shared" si="5"/>
        <v>#NAME?</v>
      </c>
      <c r="E65" s="91" t="e">
        <f t="shared" si="9"/>
        <v>#NAME?</v>
      </c>
      <c r="F65" s="91" t="e">
        <f t="shared" si="6"/>
        <v>#NAME?</v>
      </c>
      <c r="G65" s="91">
        <v>100</v>
      </c>
      <c r="H65" s="91" t="e">
        <f t="shared" si="7"/>
        <v>#NAME?</v>
      </c>
      <c r="I65" s="92">
        <v>6</v>
      </c>
      <c r="J65" s="93"/>
      <c r="K65" s="94" t="s">
        <v>133</v>
      </c>
    </row>
    <row r="66" spans="1:11" ht="19.899999999999999" customHeight="1" x14ac:dyDescent="0.25">
      <c r="A66" s="90">
        <v>34330</v>
      </c>
      <c r="B66" s="90" t="s">
        <v>134</v>
      </c>
      <c r="C66" s="35" t="e">
        <f>sheet1 #REF!</f>
        <v>#NAME?</v>
      </c>
      <c r="D66" s="95" t="e">
        <f t="shared" si="5"/>
        <v>#NAME?</v>
      </c>
      <c r="E66" s="95" t="e">
        <f t="shared" si="9"/>
        <v>#NAME?</v>
      </c>
      <c r="F66" s="95" t="e">
        <f t="shared" si="6"/>
        <v>#NAME?</v>
      </c>
      <c r="G66" s="95">
        <v>100</v>
      </c>
      <c r="H66" s="95" t="e">
        <f t="shared" si="7"/>
        <v>#NAME?</v>
      </c>
      <c r="I66" s="96">
        <v>6</v>
      </c>
      <c r="J66" s="97"/>
      <c r="K66" s="98" t="s">
        <v>133</v>
      </c>
    </row>
    <row r="67" spans="1:11" ht="19.899999999999999" customHeight="1" x14ac:dyDescent="0.2">
      <c r="A67" s="99" t="s">
        <v>135</v>
      </c>
      <c r="B67" s="99" t="s">
        <v>136</v>
      </c>
      <c r="C67" s="100" t="e">
        <f>sheet1 #REF!</f>
        <v>#NAME?</v>
      </c>
      <c r="D67" s="101" t="e">
        <f>SUM(D4:D66)</f>
        <v>#NAME?</v>
      </c>
      <c r="E67" s="101" t="e">
        <f>SUM(E4:E66)</f>
        <v>#NAME?</v>
      </c>
      <c r="F67" s="101" t="e">
        <f>SUM(F4:F66)</f>
        <v>#NAME?</v>
      </c>
      <c r="G67" s="102">
        <v>0</v>
      </c>
      <c r="H67" s="101" t="e">
        <f>SUM(H4:H66)</f>
        <v>#NAME?</v>
      </c>
      <c r="I67" s="102"/>
      <c r="J67" s="103"/>
      <c r="K67" s="104"/>
    </row>
    <row r="68" spans="1:11" ht="19.899999999999999" customHeight="1" x14ac:dyDescent="0.25">
      <c r="A68" s="105" t="s">
        <v>137</v>
      </c>
      <c r="B68" s="105" t="s">
        <v>138</v>
      </c>
      <c r="C68" s="106"/>
      <c r="D68" s="106"/>
      <c r="E68" s="107"/>
      <c r="F68" s="108"/>
      <c r="G68" s="108"/>
      <c r="H68" s="109"/>
      <c r="I68" s="110"/>
      <c r="J68" s="111"/>
      <c r="K68" s="112" t="e">
        <f>SUM(K4:K66)</f>
        <v>#NAME?</v>
      </c>
    </row>
    <row r="69" spans="1:11" ht="19.899999999999999" customHeight="1" thickBot="1" x14ac:dyDescent="0.3">
      <c r="A69" s="113"/>
      <c r="B69" s="114" t="s">
        <v>139</v>
      </c>
      <c r="C69" s="115"/>
      <c r="D69" s="115"/>
      <c r="E69" s="116"/>
      <c r="F69" s="117"/>
      <c r="G69" s="40"/>
      <c r="H69" s="118"/>
      <c r="I69" s="119"/>
      <c r="J69" s="120"/>
      <c r="K69" s="121"/>
    </row>
    <row r="70" spans="1:11" ht="19.899999999999999" customHeight="1" thickTop="1" x14ac:dyDescent="0.25">
      <c r="A70" s="122">
        <v>33825</v>
      </c>
      <c r="B70" s="122" t="s">
        <v>140</v>
      </c>
      <c r="C70" s="123"/>
      <c r="D70" s="123"/>
      <c r="E70" s="123"/>
      <c r="F70" s="124"/>
      <c r="G70" s="124"/>
      <c r="H70" s="125" t="e">
        <f>IF(D4&lt;&gt;0,I71,0)</f>
        <v>#NAME?</v>
      </c>
      <c r="I70" s="126">
        <v>2</v>
      </c>
      <c r="J70" s="127"/>
      <c r="K70" s="128" t="e">
        <f t="shared" ref="K70:K101" si="10">+IF(H70=0,H70*J70,IF(H70&gt;I70,H70*J70,I70*J70))</f>
        <v>#NAME?</v>
      </c>
    </row>
    <row r="71" spans="1:11" s="132" customFormat="1" ht="19.899999999999999" customHeight="1" x14ac:dyDescent="0.25">
      <c r="A71" s="122">
        <v>33805</v>
      </c>
      <c r="B71" s="122" t="s">
        <v>141</v>
      </c>
      <c r="C71" s="123"/>
      <c r="D71" s="123"/>
      <c r="E71" s="123"/>
      <c r="F71" s="124"/>
      <c r="G71" s="129"/>
      <c r="H71" s="35" t="e">
        <f t="shared" ref="H71:H76" si="11">IF(D5&lt;&gt;0,I71,0)</f>
        <v>#NAME?</v>
      </c>
      <c r="I71" s="36">
        <v>2</v>
      </c>
      <c r="J71" s="130"/>
      <c r="K71" s="131" t="e">
        <f t="shared" si="10"/>
        <v>#NAME?</v>
      </c>
    </row>
    <row r="72" spans="1:11" ht="19.899999999999999" customHeight="1" x14ac:dyDescent="0.25">
      <c r="A72" s="122">
        <v>33835</v>
      </c>
      <c r="B72" s="122" t="s">
        <v>142</v>
      </c>
      <c r="C72" s="123"/>
      <c r="D72" s="123"/>
      <c r="E72" s="123"/>
      <c r="F72" s="124"/>
      <c r="G72" s="133"/>
      <c r="H72" s="125" t="e">
        <f t="shared" si="11"/>
        <v>#NAME?</v>
      </c>
      <c r="I72" s="126">
        <v>3</v>
      </c>
      <c r="J72" s="127"/>
      <c r="K72" s="128" t="e">
        <f t="shared" si="10"/>
        <v>#NAME?</v>
      </c>
    </row>
    <row r="73" spans="1:11" ht="19.899999999999999" customHeight="1" x14ac:dyDescent="0.25">
      <c r="A73" s="134">
        <v>33815</v>
      </c>
      <c r="B73" s="134" t="s">
        <v>143</v>
      </c>
      <c r="C73" s="135"/>
      <c r="D73" s="135"/>
      <c r="E73" s="135"/>
      <c r="F73" s="136"/>
      <c r="G73" s="133"/>
      <c r="H73" s="125" t="e">
        <f t="shared" si="11"/>
        <v>#NAME?</v>
      </c>
      <c r="I73" s="137">
        <v>5</v>
      </c>
      <c r="J73" s="127"/>
      <c r="K73" s="128" t="e">
        <f t="shared" si="10"/>
        <v>#NAME?</v>
      </c>
    </row>
    <row r="74" spans="1:11" ht="19.899999999999999" customHeight="1" x14ac:dyDescent="0.25">
      <c r="A74" s="122">
        <v>33885</v>
      </c>
      <c r="B74" s="122" t="s">
        <v>144</v>
      </c>
      <c r="C74" s="123"/>
      <c r="D74" s="123"/>
      <c r="E74" s="123"/>
      <c r="F74" s="124"/>
      <c r="G74" s="133"/>
      <c r="H74" s="125" t="e">
        <f t="shared" si="11"/>
        <v>#NAME?</v>
      </c>
      <c r="I74" s="126">
        <v>3</v>
      </c>
      <c r="J74" s="127"/>
      <c r="K74" s="128" t="e">
        <f t="shared" si="10"/>
        <v>#NAME?</v>
      </c>
    </row>
    <row r="75" spans="1:11" ht="19.899999999999999" customHeight="1" x14ac:dyDescent="0.25">
      <c r="A75" s="122" t="s">
        <v>145</v>
      </c>
      <c r="B75" s="122" t="s">
        <v>146</v>
      </c>
      <c r="C75" s="123"/>
      <c r="D75" s="123"/>
      <c r="E75" s="123"/>
      <c r="F75" s="124"/>
      <c r="G75" s="124"/>
      <c r="H75" s="125" t="e">
        <f t="shared" si="11"/>
        <v>#NAME?</v>
      </c>
      <c r="I75" s="126">
        <v>3</v>
      </c>
      <c r="J75" s="127"/>
      <c r="K75" s="128" t="e">
        <f t="shared" si="10"/>
        <v>#NAME?</v>
      </c>
    </row>
    <row r="76" spans="1:11" ht="19.899999999999999" customHeight="1" x14ac:dyDescent="0.25">
      <c r="A76" s="122">
        <v>33865</v>
      </c>
      <c r="B76" s="122" t="s">
        <v>147</v>
      </c>
      <c r="C76" s="123"/>
      <c r="D76" s="123"/>
      <c r="E76" s="123"/>
      <c r="F76" s="124"/>
      <c r="G76" s="124"/>
      <c r="H76" s="125" t="e">
        <f t="shared" si="11"/>
        <v>#NAME?</v>
      </c>
      <c r="I76" s="126">
        <v>2</v>
      </c>
      <c r="J76" s="127"/>
      <c r="K76" s="128" t="e">
        <f t="shared" si="10"/>
        <v>#NAME?</v>
      </c>
    </row>
    <row r="77" spans="1:11" ht="19.899999999999999" customHeight="1" x14ac:dyDescent="0.25">
      <c r="A77" s="138">
        <v>33866</v>
      </c>
      <c r="B77" s="139" t="s">
        <v>148</v>
      </c>
      <c r="C77" s="140"/>
      <c r="D77" s="141"/>
      <c r="E77" s="140"/>
      <c r="F77" s="142"/>
      <c r="G77" s="142"/>
      <c r="H77" s="35" t="e">
        <f>IF(D10&lt;&gt;0,I77,0)</f>
        <v>#NAME?</v>
      </c>
      <c r="I77" s="56">
        <v>1</v>
      </c>
      <c r="J77" s="127"/>
      <c r="K77" s="128" t="e">
        <f t="shared" si="10"/>
        <v>#NAME?</v>
      </c>
    </row>
    <row r="78" spans="1:11" ht="19.899999999999999" customHeight="1" x14ac:dyDescent="0.25">
      <c r="A78" s="134" t="s">
        <v>149</v>
      </c>
      <c r="B78" s="134" t="s">
        <v>150</v>
      </c>
      <c r="C78" s="135"/>
      <c r="D78" s="135"/>
      <c r="E78" s="135"/>
      <c r="F78" s="133"/>
      <c r="G78" s="133"/>
      <c r="H78" s="125" t="e">
        <f>IF(D11&lt;&gt;0,I78,0)</f>
        <v>#NAME?</v>
      </c>
      <c r="I78" s="137">
        <v>2</v>
      </c>
      <c r="J78" s="127"/>
      <c r="K78" s="128" t="e">
        <f t="shared" si="10"/>
        <v>#NAME?</v>
      </c>
    </row>
    <row r="79" spans="1:11" ht="19.899999999999999" customHeight="1" x14ac:dyDescent="0.25">
      <c r="A79" s="122" t="s">
        <v>151</v>
      </c>
      <c r="B79" s="122" t="s">
        <v>152</v>
      </c>
      <c r="C79" s="123"/>
      <c r="D79" s="143"/>
      <c r="E79" s="123"/>
      <c r="F79" s="124"/>
      <c r="G79" s="124"/>
      <c r="H79" s="125" t="e">
        <f>IF(D12&lt;&gt;0,I79,0)</f>
        <v>#NAME?</v>
      </c>
      <c r="I79" s="36">
        <v>2</v>
      </c>
      <c r="J79" s="144"/>
      <c r="K79" s="128" t="e">
        <f t="shared" si="10"/>
        <v>#NAME?</v>
      </c>
    </row>
    <row r="80" spans="1:11" ht="19.899999999999999" customHeight="1" x14ac:dyDescent="0.25">
      <c r="A80" s="122">
        <v>35005</v>
      </c>
      <c r="B80" s="122" t="s">
        <v>153</v>
      </c>
      <c r="C80" s="123"/>
      <c r="D80" s="123"/>
      <c r="E80" s="123"/>
      <c r="F80" s="124"/>
      <c r="G80" s="124"/>
      <c r="H80" s="125" t="e">
        <f>IF(D13&lt;&gt;0,I80,0)</f>
        <v>#NAME?</v>
      </c>
      <c r="I80" s="126">
        <v>2</v>
      </c>
      <c r="J80" s="145"/>
      <c r="K80" s="146" t="e">
        <f t="shared" si="10"/>
        <v>#NAME?</v>
      </c>
    </row>
    <row r="81" spans="1:11" ht="19.899999999999999" customHeight="1" x14ac:dyDescent="0.25">
      <c r="A81" s="122">
        <v>35006</v>
      </c>
      <c r="B81" s="122" t="s">
        <v>154</v>
      </c>
      <c r="C81" s="123"/>
      <c r="D81" s="123"/>
      <c r="E81" s="123"/>
      <c r="F81" s="124"/>
      <c r="G81" s="124"/>
      <c r="H81" s="35" t="e">
        <f t="shared" ref="H81:H88" si="12">IF(D13&lt;&gt;0,I81,0)</f>
        <v>#NAME?</v>
      </c>
      <c r="I81" s="36">
        <v>1</v>
      </c>
      <c r="J81" s="145"/>
      <c r="K81" s="128" t="e">
        <f t="shared" si="10"/>
        <v>#NAME?</v>
      </c>
    </row>
    <row r="82" spans="1:11" ht="19.899999999999999" customHeight="1" x14ac:dyDescent="0.25">
      <c r="A82" s="122">
        <v>33515</v>
      </c>
      <c r="B82" s="122" t="s">
        <v>155</v>
      </c>
      <c r="C82" s="123"/>
      <c r="D82" s="123"/>
      <c r="E82" s="123"/>
      <c r="F82" s="124"/>
      <c r="G82" s="124"/>
      <c r="H82" s="125" t="e">
        <f t="shared" si="12"/>
        <v>#NAME?</v>
      </c>
      <c r="I82" s="126">
        <v>2</v>
      </c>
      <c r="J82" s="145"/>
      <c r="K82" s="147" t="e">
        <f t="shared" si="10"/>
        <v>#NAME?</v>
      </c>
    </row>
    <row r="83" spans="1:11" ht="19.899999999999999" customHeight="1" x14ac:dyDescent="0.25">
      <c r="A83" s="122">
        <v>33525</v>
      </c>
      <c r="B83" s="122" t="s">
        <v>156</v>
      </c>
      <c r="C83" s="123"/>
      <c r="D83" s="123"/>
      <c r="E83" s="123"/>
      <c r="F83" s="124"/>
      <c r="G83" s="124"/>
      <c r="H83" s="125" t="e">
        <f t="shared" si="12"/>
        <v>#NAME?</v>
      </c>
      <c r="I83" s="126">
        <v>2</v>
      </c>
      <c r="J83" s="145"/>
      <c r="K83" s="147" t="e">
        <f t="shared" si="10"/>
        <v>#NAME?</v>
      </c>
    </row>
    <row r="84" spans="1:11" ht="19.899999999999999" customHeight="1" x14ac:dyDescent="0.25">
      <c r="A84" s="122">
        <v>33545</v>
      </c>
      <c r="B84" s="122" t="s">
        <v>157</v>
      </c>
      <c r="C84" s="123"/>
      <c r="D84" s="123"/>
      <c r="E84" s="123"/>
      <c r="F84" s="124"/>
      <c r="G84" s="124"/>
      <c r="H84" s="125" t="e">
        <f t="shared" si="12"/>
        <v>#NAME?</v>
      </c>
      <c r="I84" s="126">
        <v>5</v>
      </c>
      <c r="J84" s="145"/>
      <c r="K84" s="147" t="e">
        <f t="shared" si="10"/>
        <v>#NAME?</v>
      </c>
    </row>
    <row r="85" spans="1:11" ht="19.899999999999999" customHeight="1" x14ac:dyDescent="0.25">
      <c r="A85" s="122" t="s">
        <v>158</v>
      </c>
      <c r="B85" s="122" t="s">
        <v>159</v>
      </c>
      <c r="C85" s="123"/>
      <c r="D85" s="123"/>
      <c r="E85" s="123"/>
      <c r="F85" s="124"/>
      <c r="G85" s="124"/>
      <c r="H85" s="125" t="e">
        <f t="shared" si="12"/>
        <v>#NAME?</v>
      </c>
      <c r="I85" s="126">
        <v>2</v>
      </c>
      <c r="J85" s="145"/>
      <c r="K85" s="128" t="e">
        <f t="shared" si="10"/>
        <v>#NAME?</v>
      </c>
    </row>
    <row r="86" spans="1:11" ht="19.899999999999999" customHeight="1" x14ac:dyDescent="0.25">
      <c r="A86" s="122">
        <v>33535</v>
      </c>
      <c r="B86" s="122" t="s">
        <v>160</v>
      </c>
      <c r="C86" s="123"/>
      <c r="D86" s="143"/>
      <c r="E86" s="123"/>
      <c r="F86" s="124"/>
      <c r="G86" s="124"/>
      <c r="H86" s="125" t="e">
        <f t="shared" si="12"/>
        <v>#NAME?</v>
      </c>
      <c r="I86" s="36">
        <v>3</v>
      </c>
      <c r="J86" s="145"/>
      <c r="K86" s="147" t="e">
        <f t="shared" si="10"/>
        <v>#NAME?</v>
      </c>
    </row>
    <row r="87" spans="1:11" ht="19.899999999999999" customHeight="1" x14ac:dyDescent="0.25">
      <c r="A87" s="122">
        <v>33565</v>
      </c>
      <c r="B87" s="122" t="s">
        <v>161</v>
      </c>
      <c r="C87" s="123"/>
      <c r="D87" s="143"/>
      <c r="E87" s="123"/>
      <c r="F87" s="124"/>
      <c r="G87" s="124"/>
      <c r="H87" s="125" t="e">
        <f t="shared" si="12"/>
        <v>#NAME?</v>
      </c>
      <c r="I87" s="36">
        <v>5</v>
      </c>
      <c r="J87" s="145"/>
      <c r="K87" s="147" t="e">
        <f t="shared" si="10"/>
        <v>#NAME?</v>
      </c>
    </row>
    <row r="88" spans="1:11" ht="19.899999999999999" customHeight="1" x14ac:dyDescent="0.25">
      <c r="A88" s="122">
        <v>33555</v>
      </c>
      <c r="B88" s="122" t="s">
        <v>162</v>
      </c>
      <c r="C88" s="123"/>
      <c r="D88" s="143"/>
      <c r="E88" s="123"/>
      <c r="F88" s="124"/>
      <c r="G88" s="124"/>
      <c r="H88" s="125" t="e">
        <f t="shared" si="12"/>
        <v>#NAME?</v>
      </c>
      <c r="I88" s="36">
        <v>3</v>
      </c>
      <c r="J88" s="145"/>
      <c r="K88" s="147" t="e">
        <f t="shared" si="10"/>
        <v>#NAME?</v>
      </c>
    </row>
    <row r="89" spans="1:11" ht="19.899999999999999" customHeight="1" x14ac:dyDescent="0.25">
      <c r="A89" s="122">
        <v>33556</v>
      </c>
      <c r="B89" s="122" t="s">
        <v>163</v>
      </c>
      <c r="C89" s="123"/>
      <c r="D89" s="143"/>
      <c r="E89" s="123"/>
      <c r="F89" s="124"/>
      <c r="G89" s="124"/>
      <c r="H89" s="35" t="e">
        <f>IF(D20&lt;&gt;0,I89,0)</f>
        <v>#NAME?</v>
      </c>
      <c r="I89" s="36">
        <v>2</v>
      </c>
      <c r="J89" s="145"/>
      <c r="K89" s="147" t="e">
        <f t="shared" si="10"/>
        <v>#NAME?</v>
      </c>
    </row>
    <row r="90" spans="1:11" ht="19.899999999999999" customHeight="1" x14ac:dyDescent="0.25">
      <c r="A90" s="122">
        <v>33575</v>
      </c>
      <c r="B90" s="122" t="s">
        <v>164</v>
      </c>
      <c r="C90" s="123"/>
      <c r="D90" s="143"/>
      <c r="E90" s="123"/>
      <c r="F90" s="124"/>
      <c r="G90" s="124"/>
      <c r="H90" s="125" t="e">
        <f>IF(D21&lt;&gt;0,I90,0)</f>
        <v>#NAME?</v>
      </c>
      <c r="I90" s="36">
        <v>3</v>
      </c>
      <c r="J90" s="145"/>
      <c r="K90" s="128" t="e">
        <f t="shared" si="10"/>
        <v>#NAME?</v>
      </c>
    </row>
    <row r="91" spans="1:11" ht="19.899999999999999" customHeight="1" x14ac:dyDescent="0.25">
      <c r="A91" s="122" t="s">
        <v>165</v>
      </c>
      <c r="B91" s="122" t="s">
        <v>166</v>
      </c>
      <c r="C91" s="123"/>
      <c r="D91" s="123"/>
      <c r="E91" s="123"/>
      <c r="F91" s="124"/>
      <c r="G91" s="124"/>
      <c r="H91" s="125" t="e">
        <f>IF(D22&lt;&gt;0,I91,0)</f>
        <v>#NAME?</v>
      </c>
      <c r="I91" s="126">
        <v>3</v>
      </c>
      <c r="J91" s="145"/>
      <c r="K91" s="147" t="e">
        <f t="shared" si="10"/>
        <v>#NAME?</v>
      </c>
    </row>
    <row r="92" spans="1:11" ht="19.899999999999999" customHeight="1" x14ac:dyDescent="0.25">
      <c r="A92" s="122" t="s">
        <v>167</v>
      </c>
      <c r="B92" s="122" t="s">
        <v>168</v>
      </c>
      <c r="C92" s="123"/>
      <c r="D92" s="143"/>
      <c r="E92" s="123"/>
      <c r="F92" s="124"/>
      <c r="G92" s="124"/>
      <c r="H92" s="125" t="e">
        <f>IF(D24&lt;&gt;0,I92,0)</f>
        <v>#NAME?</v>
      </c>
      <c r="I92" s="36">
        <v>2</v>
      </c>
      <c r="J92" s="145"/>
      <c r="K92" s="147" t="e">
        <f t="shared" si="10"/>
        <v>#NAME?</v>
      </c>
    </row>
    <row r="93" spans="1:11" ht="19.899999999999999" customHeight="1" x14ac:dyDescent="0.25">
      <c r="A93" s="122" t="s">
        <v>169</v>
      </c>
      <c r="B93" s="122" t="s">
        <v>170</v>
      </c>
      <c r="C93" s="123"/>
      <c r="D93" s="143"/>
      <c r="E93" s="123"/>
      <c r="F93" s="124"/>
      <c r="G93" s="124"/>
      <c r="H93" s="125" t="e">
        <f>IF(D24&lt;&gt;0,I93,0)</f>
        <v>#NAME?</v>
      </c>
      <c r="I93" s="36">
        <v>4</v>
      </c>
      <c r="J93" s="145"/>
      <c r="K93" s="147" t="e">
        <f t="shared" si="10"/>
        <v>#NAME?</v>
      </c>
    </row>
    <row r="94" spans="1:11" ht="19.899999999999999" customHeight="1" x14ac:dyDescent="0.25">
      <c r="A94" s="148" t="s">
        <v>171</v>
      </c>
      <c r="B94" s="148" t="s">
        <v>172</v>
      </c>
      <c r="C94" s="149"/>
      <c r="D94" s="149"/>
      <c r="E94" s="149"/>
      <c r="F94" s="149"/>
      <c r="G94" s="149"/>
      <c r="H94" s="125" t="e">
        <f>IF(D25&lt;&gt;0,I94,0)</f>
        <v>#NAME?</v>
      </c>
      <c r="I94" s="150">
        <v>3</v>
      </c>
      <c r="J94" s="145"/>
      <c r="K94" s="147" t="e">
        <f t="shared" si="10"/>
        <v>#NAME?</v>
      </c>
    </row>
    <row r="95" spans="1:11" ht="19.899999999999999" customHeight="1" x14ac:dyDescent="0.25">
      <c r="A95" s="148" t="s">
        <v>173</v>
      </c>
      <c r="B95" s="148" t="s">
        <v>174</v>
      </c>
      <c r="C95" s="149"/>
      <c r="D95" s="149"/>
      <c r="E95" s="149"/>
      <c r="F95" s="149"/>
      <c r="G95" s="149"/>
      <c r="H95" s="35" t="e">
        <f>IF(D25&lt;&gt;0,I95,0)</f>
        <v>#NAME?</v>
      </c>
      <c r="I95" s="151">
        <v>3</v>
      </c>
      <c r="J95" s="145"/>
      <c r="K95" s="147" t="e">
        <f t="shared" si="10"/>
        <v>#NAME?</v>
      </c>
    </row>
    <row r="96" spans="1:11" ht="19.899999999999999" customHeight="1" x14ac:dyDescent="0.25">
      <c r="A96" s="152" t="s">
        <v>175</v>
      </c>
      <c r="B96" s="152" t="s">
        <v>176</v>
      </c>
      <c r="C96" s="153"/>
      <c r="D96" s="153"/>
      <c r="E96" s="153"/>
      <c r="F96" s="153"/>
      <c r="G96" s="153"/>
      <c r="H96" s="64" t="e">
        <f>IF(D26&lt;&gt;0,I96,0)</f>
        <v>#NAME?</v>
      </c>
      <c r="I96" s="153">
        <v>3</v>
      </c>
      <c r="J96" s="66"/>
      <c r="K96" s="154" t="e">
        <f t="shared" si="10"/>
        <v>#NAME?</v>
      </c>
    </row>
    <row r="97" spans="1:11" ht="19.899999999999999" customHeight="1" x14ac:dyDescent="0.25">
      <c r="A97" s="152" t="s">
        <v>177</v>
      </c>
      <c r="B97" s="152" t="s">
        <v>178</v>
      </c>
      <c r="C97" s="153"/>
      <c r="D97" s="153"/>
      <c r="E97" s="153"/>
      <c r="F97" s="153"/>
      <c r="G97" s="153"/>
      <c r="H97" s="64" t="e">
        <f>IF(D26&lt;&gt;0,I97,0)</f>
        <v>#NAME?</v>
      </c>
      <c r="I97" s="153">
        <v>4</v>
      </c>
      <c r="J97" s="155"/>
      <c r="K97" s="156" t="e">
        <f t="shared" si="10"/>
        <v>#NAME?</v>
      </c>
    </row>
    <row r="98" spans="1:11" ht="19.899999999999999" customHeight="1" x14ac:dyDescent="0.25">
      <c r="A98" s="139" t="s">
        <v>179</v>
      </c>
      <c r="B98" s="139" t="s">
        <v>180</v>
      </c>
      <c r="C98" s="140"/>
      <c r="D98" s="141"/>
      <c r="E98" s="140"/>
      <c r="F98" s="142"/>
      <c r="G98" s="142"/>
      <c r="H98" s="55" t="e">
        <f>IF(D27&lt;&gt;0,I98,0)</f>
        <v>#NAME?</v>
      </c>
      <c r="I98" s="56">
        <v>3</v>
      </c>
      <c r="J98" s="157"/>
      <c r="K98" s="158" t="e">
        <f t="shared" si="10"/>
        <v>#NAME?</v>
      </c>
    </row>
    <row r="99" spans="1:11" ht="19.899999999999999" customHeight="1" x14ac:dyDescent="0.25">
      <c r="A99" s="122">
        <v>387993</v>
      </c>
      <c r="B99" s="122" t="s">
        <v>181</v>
      </c>
      <c r="C99" s="123"/>
      <c r="D99" s="143"/>
      <c r="E99" s="123"/>
      <c r="F99" s="124"/>
      <c r="G99" s="124"/>
      <c r="H99" s="35" t="e">
        <f>IF(D28&lt;&gt;0,I99,0)</f>
        <v>#NAME?</v>
      </c>
      <c r="I99" s="36">
        <v>3</v>
      </c>
      <c r="J99" s="145"/>
      <c r="K99" s="147" t="e">
        <f t="shared" si="10"/>
        <v>#NAME?</v>
      </c>
    </row>
    <row r="100" spans="1:11" ht="19.899999999999999" customHeight="1" x14ac:dyDescent="0.25">
      <c r="A100" s="122">
        <v>387999</v>
      </c>
      <c r="B100" s="122" t="s">
        <v>182</v>
      </c>
      <c r="C100" s="123"/>
      <c r="D100" s="143"/>
      <c r="E100" s="123"/>
      <c r="F100" s="124"/>
      <c r="G100" s="124"/>
      <c r="H100" s="35" t="e">
        <f>IF(D28&lt;&gt;0,I100,0)</f>
        <v>#NAME?</v>
      </c>
      <c r="I100" s="36">
        <v>2</v>
      </c>
      <c r="J100" s="145"/>
      <c r="K100" s="147" t="e">
        <f t="shared" si="10"/>
        <v>#NAME?</v>
      </c>
    </row>
    <row r="101" spans="1:11" ht="19.899999999999999" customHeight="1" x14ac:dyDescent="0.25">
      <c r="A101" s="122">
        <v>33005</v>
      </c>
      <c r="B101" s="122" t="s">
        <v>183</v>
      </c>
      <c r="C101" s="123"/>
      <c r="D101" s="123"/>
      <c r="E101" s="123"/>
      <c r="F101" s="124"/>
      <c r="G101" s="124"/>
      <c r="H101" s="35" t="e">
        <f>IF(D29&lt;&gt;0,I101,0)</f>
        <v>#NAME?</v>
      </c>
      <c r="I101" s="36">
        <v>3</v>
      </c>
      <c r="J101" s="145"/>
      <c r="K101" s="147" t="e">
        <f t="shared" si="10"/>
        <v>#NAME?</v>
      </c>
    </row>
    <row r="102" spans="1:11" ht="19.899999999999999" customHeight="1" x14ac:dyDescent="0.25">
      <c r="A102" s="122">
        <v>33006</v>
      </c>
      <c r="B102" s="122" t="s">
        <v>184</v>
      </c>
      <c r="C102" s="123"/>
      <c r="D102" s="123"/>
      <c r="E102" s="123"/>
      <c r="F102" s="124"/>
      <c r="G102" s="124"/>
      <c r="H102" s="35" t="e">
        <f>IF(D29&lt;&gt;0,I102,0)</f>
        <v>#NAME?</v>
      </c>
      <c r="I102" s="36">
        <v>1</v>
      </c>
      <c r="J102" s="145"/>
      <c r="K102" s="147" t="e">
        <f t="shared" ref="K102:K133" si="13">+IF(H102=0,H102*J102,IF(H102&gt;I102,H102*J102,I102*J102))</f>
        <v>#NAME?</v>
      </c>
    </row>
    <row r="103" spans="1:11" ht="19.899999999999999" customHeight="1" x14ac:dyDescent="0.25">
      <c r="A103" s="122" t="s">
        <v>185</v>
      </c>
      <c r="B103" s="122" t="s">
        <v>186</v>
      </c>
      <c r="C103" s="123"/>
      <c r="D103" s="143"/>
      <c r="E103" s="123"/>
      <c r="F103" s="124"/>
      <c r="G103" s="124"/>
      <c r="H103" s="35" t="e">
        <f>IF(D30&lt;&gt;0,I104,0)</f>
        <v>#NAME?</v>
      </c>
      <c r="I103" s="36">
        <v>3</v>
      </c>
      <c r="J103" s="145"/>
      <c r="K103" s="128" t="e">
        <f t="shared" si="13"/>
        <v>#NAME?</v>
      </c>
    </row>
    <row r="104" spans="1:11" ht="19.899999999999999" customHeight="1" x14ac:dyDescent="0.25">
      <c r="A104" s="122">
        <v>33016</v>
      </c>
      <c r="B104" s="122" t="s">
        <v>187</v>
      </c>
      <c r="C104" s="123"/>
      <c r="D104" s="143"/>
      <c r="E104" s="123"/>
      <c r="F104" s="124"/>
      <c r="G104" s="124"/>
      <c r="H104" s="35" t="e">
        <f>IF(D30&lt;&gt;0,I103,0)</f>
        <v>#NAME?</v>
      </c>
      <c r="I104" s="36">
        <v>1</v>
      </c>
      <c r="J104" s="145"/>
      <c r="K104" s="128" t="e">
        <f t="shared" si="13"/>
        <v>#NAME?</v>
      </c>
    </row>
    <row r="105" spans="1:11" ht="19.899999999999999" customHeight="1" x14ac:dyDescent="0.25">
      <c r="A105" s="122" t="s">
        <v>188</v>
      </c>
      <c r="B105" s="122" t="s">
        <v>189</v>
      </c>
      <c r="C105" s="123"/>
      <c r="D105" s="143"/>
      <c r="E105" s="123"/>
      <c r="F105" s="124"/>
      <c r="G105" s="124"/>
      <c r="H105" s="35" t="e">
        <f>IF(D30&lt;&gt;0,I105,0)</f>
        <v>#NAME?</v>
      </c>
      <c r="I105" s="36">
        <v>2</v>
      </c>
      <c r="J105" s="145"/>
      <c r="K105" s="128" t="e">
        <f t="shared" si="13"/>
        <v>#NAME?</v>
      </c>
    </row>
    <row r="106" spans="1:11" ht="19.899999999999999" customHeight="1" x14ac:dyDescent="0.25">
      <c r="A106" s="148" t="s">
        <v>190</v>
      </c>
      <c r="B106" s="148" t="s">
        <v>191</v>
      </c>
      <c r="C106" s="149"/>
      <c r="D106" s="149"/>
      <c r="E106" s="149"/>
      <c r="F106" s="149"/>
      <c r="G106" s="149"/>
      <c r="H106" s="35" t="e">
        <f>IF(D31&lt;&gt;0,I106,0)</f>
        <v>#NAME?</v>
      </c>
      <c r="I106" s="36">
        <v>3</v>
      </c>
      <c r="J106" s="145"/>
      <c r="K106" s="128" t="e">
        <f t="shared" si="13"/>
        <v>#NAME?</v>
      </c>
    </row>
    <row r="107" spans="1:11" ht="19.899999999999999" customHeight="1" x14ac:dyDescent="0.25">
      <c r="A107" s="148" t="s">
        <v>192</v>
      </c>
      <c r="B107" s="148" t="s">
        <v>193</v>
      </c>
      <c r="C107" s="149"/>
      <c r="D107" s="149"/>
      <c r="E107" s="149"/>
      <c r="F107" s="149"/>
      <c r="G107" s="149"/>
      <c r="H107" s="35" t="e">
        <f>IF(D31&lt;&gt;0,I107,0)</f>
        <v>#NAME?</v>
      </c>
      <c r="I107" s="151">
        <v>2</v>
      </c>
      <c r="J107" s="145"/>
      <c r="K107" s="128" t="e">
        <f t="shared" si="13"/>
        <v>#NAME?</v>
      </c>
    </row>
    <row r="108" spans="1:11" ht="19.899999999999999" customHeight="1" x14ac:dyDescent="0.25">
      <c r="A108" s="122">
        <v>33025</v>
      </c>
      <c r="B108" s="122" t="s">
        <v>194</v>
      </c>
      <c r="C108" s="123"/>
      <c r="D108" s="143"/>
      <c r="E108" s="123"/>
      <c r="F108" s="124"/>
      <c r="G108" s="124"/>
      <c r="H108" s="35" t="e">
        <f>IF(D32&lt;&gt;0,I108,0)</f>
        <v>#NAME?</v>
      </c>
      <c r="I108" s="36">
        <v>2</v>
      </c>
      <c r="J108" s="145"/>
      <c r="K108" s="128" t="e">
        <f t="shared" si="13"/>
        <v>#NAME?</v>
      </c>
    </row>
    <row r="109" spans="1:11" ht="19.899999999999999" customHeight="1" x14ac:dyDescent="0.25">
      <c r="A109" s="139">
        <v>34435</v>
      </c>
      <c r="B109" s="139" t="s">
        <v>195</v>
      </c>
      <c r="C109" s="140"/>
      <c r="D109" s="141"/>
      <c r="E109" s="140"/>
      <c r="F109" s="142"/>
      <c r="G109" s="142"/>
      <c r="H109" s="125" t="e">
        <f>IF(D33&lt;&gt;0,I109,0)</f>
        <v>#NAME?</v>
      </c>
      <c r="I109" s="56">
        <v>6</v>
      </c>
      <c r="J109" s="157"/>
      <c r="K109" s="158" t="e">
        <f t="shared" si="13"/>
        <v>#NAME?</v>
      </c>
    </row>
    <row r="110" spans="1:11" ht="19.899999999999999" customHeight="1" x14ac:dyDescent="0.25">
      <c r="A110" s="122">
        <v>34439</v>
      </c>
      <c r="B110" s="122" t="s">
        <v>196</v>
      </c>
      <c r="C110" s="123"/>
      <c r="D110" s="143"/>
      <c r="E110" s="123"/>
      <c r="F110" s="124"/>
      <c r="G110" s="124"/>
      <c r="H110" s="35" t="e">
        <f>IF(D33&lt;&gt;0,I110,0)</f>
        <v>#NAME?</v>
      </c>
      <c r="I110" s="36">
        <v>7</v>
      </c>
      <c r="J110" s="145"/>
      <c r="K110" s="147" t="e">
        <f t="shared" si="13"/>
        <v>#NAME?</v>
      </c>
    </row>
    <row r="111" spans="1:11" ht="19.899999999999999" customHeight="1" x14ac:dyDescent="0.25">
      <c r="A111" s="122">
        <v>34445</v>
      </c>
      <c r="B111" s="122" t="s">
        <v>197</v>
      </c>
      <c r="C111" s="123"/>
      <c r="D111" s="143"/>
      <c r="E111" s="123"/>
      <c r="F111" s="124"/>
      <c r="G111" s="124"/>
      <c r="H111" s="35" t="e">
        <f>IF(D34&lt;&gt;0,I111,0)</f>
        <v>#NAME?</v>
      </c>
      <c r="I111" s="36">
        <v>6</v>
      </c>
      <c r="J111" s="145"/>
      <c r="K111" s="147" t="e">
        <f t="shared" si="13"/>
        <v>#NAME?</v>
      </c>
    </row>
    <row r="112" spans="1:11" ht="19.899999999999999" customHeight="1" x14ac:dyDescent="0.25">
      <c r="A112" s="122">
        <v>34449</v>
      </c>
      <c r="B112" s="122" t="s">
        <v>198</v>
      </c>
      <c r="C112" s="123"/>
      <c r="D112" s="143"/>
      <c r="E112" s="123"/>
      <c r="F112" s="124"/>
      <c r="G112" s="124"/>
      <c r="H112" s="35" t="e">
        <f>IF(D34&lt;&gt;0,I112,0)</f>
        <v>#NAME?</v>
      </c>
      <c r="I112" s="36">
        <v>7</v>
      </c>
      <c r="J112" s="145"/>
      <c r="K112" s="147" t="e">
        <f t="shared" si="13"/>
        <v>#NAME?</v>
      </c>
    </row>
    <row r="113" spans="1:11" ht="19.899999999999999" customHeight="1" x14ac:dyDescent="0.25">
      <c r="A113" s="122" t="s">
        <v>199</v>
      </c>
      <c r="B113" s="122" t="s">
        <v>200</v>
      </c>
      <c r="C113" s="123"/>
      <c r="D113" s="143"/>
      <c r="E113" s="123"/>
      <c r="F113" s="124"/>
      <c r="G113" s="124"/>
      <c r="H113" s="35" t="e">
        <f>IF(D35&lt;&gt;0,I113,0)</f>
        <v>#NAME?</v>
      </c>
      <c r="I113" s="36">
        <v>6</v>
      </c>
      <c r="J113" s="145"/>
      <c r="K113" s="147" t="e">
        <f t="shared" si="13"/>
        <v>#NAME?</v>
      </c>
    </row>
    <row r="114" spans="1:11" ht="19.899999999999999" customHeight="1" x14ac:dyDescent="0.25">
      <c r="A114" s="122" t="s">
        <v>201</v>
      </c>
      <c r="B114" s="122" t="s">
        <v>202</v>
      </c>
      <c r="C114" s="123"/>
      <c r="D114" s="143"/>
      <c r="E114" s="123"/>
      <c r="F114" s="124"/>
      <c r="G114" s="124"/>
      <c r="H114" s="35" t="e">
        <f>IF(D35&lt;&gt;0,I114,0)</f>
        <v>#NAME?</v>
      </c>
      <c r="I114" s="36">
        <v>7</v>
      </c>
      <c r="J114" s="145"/>
      <c r="K114" s="147" t="e">
        <f t="shared" si="13"/>
        <v>#NAME?</v>
      </c>
    </row>
    <row r="115" spans="1:11" ht="19.899999999999999" customHeight="1" x14ac:dyDescent="0.25">
      <c r="A115" s="122" t="s">
        <v>203</v>
      </c>
      <c r="B115" s="122" t="s">
        <v>204</v>
      </c>
      <c r="C115" s="123"/>
      <c r="D115" s="143"/>
      <c r="E115" s="123"/>
      <c r="F115" s="124"/>
      <c r="G115" s="124"/>
      <c r="H115" s="35" t="e">
        <f>IF(D36&lt;&gt;0,I115,0)</f>
        <v>#NAME?</v>
      </c>
      <c r="I115" s="36">
        <v>5</v>
      </c>
      <c r="J115" s="145"/>
      <c r="K115" s="147" t="e">
        <f t="shared" si="13"/>
        <v>#NAME?</v>
      </c>
    </row>
    <row r="116" spans="1:11" ht="19.899999999999999" customHeight="1" x14ac:dyDescent="0.25">
      <c r="A116" s="122" t="s">
        <v>205</v>
      </c>
      <c r="B116" s="122" t="s">
        <v>206</v>
      </c>
      <c r="C116" s="123"/>
      <c r="D116" s="143"/>
      <c r="E116" s="123"/>
      <c r="F116" s="124"/>
      <c r="G116" s="124"/>
      <c r="H116" s="35" t="e">
        <f>IF(D36&lt;&gt;0,I116,0)</f>
        <v>#NAME?</v>
      </c>
      <c r="I116" s="36">
        <v>5</v>
      </c>
      <c r="J116" s="145"/>
      <c r="K116" s="147" t="e">
        <f t="shared" si="13"/>
        <v>#NAME?</v>
      </c>
    </row>
    <row r="117" spans="1:11" ht="19.899999999999999" customHeight="1" x14ac:dyDescent="0.25">
      <c r="A117" s="122" t="s">
        <v>207</v>
      </c>
      <c r="B117" s="122" t="s">
        <v>208</v>
      </c>
      <c r="C117" s="123"/>
      <c r="D117" s="143"/>
      <c r="E117" s="123"/>
      <c r="F117" s="124"/>
      <c r="G117" s="124"/>
      <c r="H117" s="35" t="e">
        <f>IF(D37&lt;&gt;0,I117,0)</f>
        <v>#NAME?</v>
      </c>
      <c r="I117" s="36">
        <v>5</v>
      </c>
      <c r="J117" s="145"/>
      <c r="K117" s="147" t="e">
        <f t="shared" si="13"/>
        <v>#NAME?</v>
      </c>
    </row>
    <row r="118" spans="1:11" ht="19.899999999999999" customHeight="1" x14ac:dyDescent="0.25">
      <c r="A118" s="122" t="s">
        <v>209</v>
      </c>
      <c r="B118" s="122" t="s">
        <v>210</v>
      </c>
      <c r="C118" s="123"/>
      <c r="D118" s="143"/>
      <c r="E118" s="123"/>
      <c r="F118" s="124"/>
      <c r="G118" s="124"/>
      <c r="H118" s="35" t="e">
        <f>IF(D37&lt;&gt;0,I118,0)</f>
        <v>#NAME?</v>
      </c>
      <c r="I118" s="36">
        <v>5</v>
      </c>
      <c r="J118" s="145"/>
      <c r="K118" s="147" t="e">
        <f t="shared" si="13"/>
        <v>#NAME?</v>
      </c>
    </row>
    <row r="119" spans="1:11" ht="19.899999999999999" customHeight="1" x14ac:dyDescent="0.25">
      <c r="A119" s="122">
        <v>34475</v>
      </c>
      <c r="B119" s="122" t="s">
        <v>211</v>
      </c>
      <c r="C119" s="123"/>
      <c r="D119" s="143"/>
      <c r="E119" s="123"/>
      <c r="F119" s="124"/>
      <c r="G119" s="124"/>
      <c r="H119" s="35" t="e">
        <f>IF(D38&lt;&gt;0,I119,0)</f>
        <v>#NAME?</v>
      </c>
      <c r="I119" s="36">
        <v>5</v>
      </c>
      <c r="J119" s="145"/>
      <c r="K119" s="147" t="e">
        <f t="shared" si="13"/>
        <v>#NAME?</v>
      </c>
    </row>
    <row r="120" spans="1:11" ht="19.899999999999999" customHeight="1" x14ac:dyDescent="0.25">
      <c r="A120" s="122">
        <v>34479</v>
      </c>
      <c r="B120" s="122" t="s">
        <v>212</v>
      </c>
      <c r="C120" s="123"/>
      <c r="D120" s="143"/>
      <c r="E120" s="123"/>
      <c r="F120" s="124"/>
      <c r="G120" s="124"/>
      <c r="H120" s="36" t="e">
        <f>IF(D38&lt;&gt;0,I120,0)</f>
        <v>#NAME?</v>
      </c>
      <c r="I120" s="36">
        <v>5</v>
      </c>
      <c r="J120" s="145"/>
      <c r="K120" s="128" t="e">
        <f t="shared" si="13"/>
        <v>#NAME?</v>
      </c>
    </row>
    <row r="121" spans="1:11" ht="19.899999999999999" customHeight="1" x14ac:dyDescent="0.25">
      <c r="A121" s="139">
        <v>33215</v>
      </c>
      <c r="B121" s="139" t="s">
        <v>213</v>
      </c>
      <c r="C121" s="140"/>
      <c r="D121" s="141"/>
      <c r="E121" s="140"/>
      <c r="F121" s="142"/>
      <c r="G121" s="142"/>
      <c r="H121" s="125" t="e">
        <f>IF(D39&lt;&gt;0,I121,0)</f>
        <v>#NAME?</v>
      </c>
      <c r="I121" s="159">
        <v>3</v>
      </c>
      <c r="J121" s="157"/>
      <c r="K121" s="158" t="e">
        <f t="shared" si="13"/>
        <v>#NAME?</v>
      </c>
    </row>
    <row r="122" spans="1:11" ht="19.899999999999999" customHeight="1" x14ac:dyDescent="0.25">
      <c r="A122" s="122">
        <v>33216</v>
      </c>
      <c r="B122" s="148" t="s">
        <v>214</v>
      </c>
      <c r="C122" s="123"/>
      <c r="D122" s="143"/>
      <c r="E122" s="123"/>
      <c r="F122" s="124"/>
      <c r="G122" s="124"/>
      <c r="H122" s="35" t="e">
        <f>IF(D39&lt;&gt;0,I122,0)</f>
        <v>#NAME?</v>
      </c>
      <c r="I122" s="36">
        <v>2</v>
      </c>
      <c r="J122" s="145"/>
      <c r="K122" s="147" t="e">
        <f t="shared" si="13"/>
        <v>#NAME?</v>
      </c>
    </row>
    <row r="123" spans="1:11" ht="19.899999999999999" customHeight="1" x14ac:dyDescent="0.25">
      <c r="A123" s="122">
        <v>33219</v>
      </c>
      <c r="B123" s="148" t="s">
        <v>215</v>
      </c>
      <c r="C123" s="123"/>
      <c r="D123" s="143"/>
      <c r="E123" s="123"/>
      <c r="F123" s="124"/>
      <c r="G123" s="124"/>
      <c r="H123" s="35" t="e">
        <f>IF(D39&lt;&gt;0,I123,0)</f>
        <v>#NAME?</v>
      </c>
      <c r="I123" s="36">
        <v>7</v>
      </c>
      <c r="J123" s="145"/>
      <c r="K123" s="147" t="e">
        <f t="shared" si="13"/>
        <v>#NAME?</v>
      </c>
    </row>
    <row r="124" spans="1:11" ht="19.899999999999999" customHeight="1" x14ac:dyDescent="0.25">
      <c r="A124" s="122">
        <v>386358</v>
      </c>
      <c r="B124" s="122" t="s">
        <v>216</v>
      </c>
      <c r="C124" s="123"/>
      <c r="D124" s="143"/>
      <c r="E124" s="123"/>
      <c r="F124" s="124"/>
      <c r="G124" s="124"/>
      <c r="H124" s="35" t="e">
        <f>IF(D40&lt;&gt;0,I124,0)</f>
        <v>#NAME?</v>
      </c>
      <c r="I124" s="36">
        <v>3</v>
      </c>
      <c r="J124" s="145"/>
      <c r="K124" s="147" t="e">
        <f t="shared" si="13"/>
        <v>#NAME?</v>
      </c>
    </row>
    <row r="125" spans="1:11" ht="19.899999999999999" customHeight="1" x14ac:dyDescent="0.25">
      <c r="A125" s="122">
        <v>387688</v>
      </c>
      <c r="B125" s="122" t="s">
        <v>217</v>
      </c>
      <c r="C125" s="123"/>
      <c r="D125" s="143"/>
      <c r="E125" s="123"/>
      <c r="F125" s="124"/>
      <c r="G125" s="124"/>
      <c r="H125" s="35" t="e">
        <f>IF(D41&lt;&gt;0,I125,0)</f>
        <v>#NAME?</v>
      </c>
      <c r="I125" s="36">
        <v>2</v>
      </c>
      <c r="J125" s="145"/>
      <c r="K125" s="147" t="e">
        <f t="shared" si="13"/>
        <v>#NAME?</v>
      </c>
    </row>
    <row r="126" spans="1:11" ht="19.899999999999999" customHeight="1" x14ac:dyDescent="0.25">
      <c r="A126" s="122">
        <v>387647</v>
      </c>
      <c r="B126" s="122" t="s">
        <v>218</v>
      </c>
      <c r="C126" s="123"/>
      <c r="D126" s="143"/>
      <c r="E126" s="123"/>
      <c r="F126" s="124"/>
      <c r="G126" s="124"/>
      <c r="H126" s="35" t="e">
        <f>IF(D42&lt;&gt;0,I126,0)</f>
        <v>#NAME?</v>
      </c>
      <c r="I126" s="36">
        <v>2</v>
      </c>
      <c r="J126" s="145"/>
      <c r="K126" s="147" t="e">
        <f t="shared" si="13"/>
        <v>#NAME?</v>
      </c>
    </row>
    <row r="127" spans="1:11" ht="19.899999999999999" customHeight="1" x14ac:dyDescent="0.25">
      <c r="A127" s="122">
        <v>37205</v>
      </c>
      <c r="B127" s="122" t="s">
        <v>219</v>
      </c>
      <c r="C127" s="123"/>
      <c r="D127" s="123"/>
      <c r="E127" s="123"/>
      <c r="F127" s="124"/>
      <c r="G127" s="124"/>
      <c r="H127" s="35" t="e">
        <f>IF(D43&lt;&gt;0,I127,0)</f>
        <v>#NAME?</v>
      </c>
      <c r="I127" s="36">
        <v>3</v>
      </c>
      <c r="J127" s="145"/>
      <c r="K127" s="147" t="e">
        <f t="shared" si="13"/>
        <v>#NAME?</v>
      </c>
    </row>
    <row r="128" spans="1:11" ht="19.899999999999999" customHeight="1" x14ac:dyDescent="0.25">
      <c r="A128" s="122">
        <v>37206</v>
      </c>
      <c r="B128" s="122" t="s">
        <v>220</v>
      </c>
      <c r="C128" s="123"/>
      <c r="D128" s="123"/>
      <c r="E128" s="123"/>
      <c r="F128" s="124"/>
      <c r="G128" s="124"/>
      <c r="H128" s="35" t="e">
        <f>IF(D43&lt;&gt;0,I128,0)</f>
        <v>#NAME?</v>
      </c>
      <c r="I128" s="36">
        <v>1</v>
      </c>
      <c r="J128" s="145"/>
      <c r="K128" s="147" t="e">
        <f t="shared" si="13"/>
        <v>#NAME?</v>
      </c>
    </row>
    <row r="129" spans="1:11" ht="19.899999999999999" customHeight="1" x14ac:dyDescent="0.25">
      <c r="A129" s="122">
        <v>37209</v>
      </c>
      <c r="B129" s="122" t="s">
        <v>221</v>
      </c>
      <c r="C129" s="123"/>
      <c r="D129" s="123"/>
      <c r="E129" s="123"/>
      <c r="F129" s="124"/>
      <c r="G129" s="124"/>
      <c r="H129" s="35" t="e">
        <f>IF(D43&lt;&gt;0,I129,0)</f>
        <v>#NAME?</v>
      </c>
      <c r="I129" s="36">
        <v>11</v>
      </c>
      <c r="J129" s="145"/>
      <c r="K129" s="147" t="e">
        <f t="shared" si="13"/>
        <v>#NAME?</v>
      </c>
    </row>
    <row r="130" spans="1:11" ht="19.899999999999999" customHeight="1" x14ac:dyDescent="0.25">
      <c r="A130" s="122">
        <v>37215</v>
      </c>
      <c r="B130" s="148" t="s">
        <v>222</v>
      </c>
      <c r="C130" s="123"/>
      <c r="D130" s="123"/>
      <c r="E130" s="123"/>
      <c r="F130" s="124"/>
      <c r="G130" s="124"/>
      <c r="H130" s="35" t="e">
        <f>IF(D44&lt;&gt;0,I130,0)</f>
        <v>#NAME?</v>
      </c>
      <c r="I130" s="36">
        <v>3</v>
      </c>
      <c r="J130" s="145"/>
      <c r="K130" s="147" t="e">
        <f t="shared" si="13"/>
        <v>#NAME?</v>
      </c>
    </row>
    <row r="131" spans="1:11" ht="19.899999999999999" customHeight="1" x14ac:dyDescent="0.25">
      <c r="A131" s="122">
        <v>37219</v>
      </c>
      <c r="B131" s="148" t="s">
        <v>223</v>
      </c>
      <c r="C131" s="123"/>
      <c r="D131" s="123"/>
      <c r="E131" s="123"/>
      <c r="F131" s="124"/>
      <c r="G131" s="124"/>
      <c r="H131" s="35" t="e">
        <f>IF(D44&lt;&gt;0,I131,0)</f>
        <v>#NAME?</v>
      </c>
      <c r="I131" s="36">
        <v>6</v>
      </c>
      <c r="J131" s="145"/>
      <c r="K131" s="147" t="e">
        <f t="shared" si="13"/>
        <v>#NAME?</v>
      </c>
    </row>
    <row r="132" spans="1:11" ht="19.899999999999999" customHeight="1" x14ac:dyDescent="0.25">
      <c r="A132" s="122" t="s">
        <v>224</v>
      </c>
      <c r="B132" s="160" t="s">
        <v>225</v>
      </c>
      <c r="C132" s="123"/>
      <c r="D132" s="123"/>
      <c r="E132" s="123"/>
      <c r="F132" s="124"/>
      <c r="G132" s="124"/>
      <c r="H132" s="70" t="e">
        <f>IF(D45&lt;&gt;0,I132,0)</f>
        <v>#NAME?</v>
      </c>
      <c r="I132" s="161">
        <v>3</v>
      </c>
      <c r="J132" s="145"/>
      <c r="K132" s="147" t="e">
        <f t="shared" si="13"/>
        <v>#NAME?</v>
      </c>
    </row>
    <row r="133" spans="1:11" ht="19.899999999999999" customHeight="1" x14ac:dyDescent="0.25">
      <c r="A133" s="122" t="s">
        <v>226</v>
      </c>
      <c r="B133" s="160" t="s">
        <v>227</v>
      </c>
      <c r="C133" s="123"/>
      <c r="D133" s="123"/>
      <c r="E133" s="123"/>
      <c r="F133" s="124"/>
      <c r="G133" s="124"/>
      <c r="H133" s="70" t="e">
        <f>IF(D45&lt;&gt;0,I133,0)</f>
        <v>#NAME?</v>
      </c>
      <c r="I133" s="161">
        <v>15</v>
      </c>
      <c r="J133" s="145"/>
      <c r="K133" s="147" t="e">
        <f t="shared" si="13"/>
        <v>#NAME?</v>
      </c>
    </row>
    <row r="134" spans="1:11" ht="19.899999999999999" customHeight="1" x14ac:dyDescent="0.25">
      <c r="A134" s="122">
        <v>33205</v>
      </c>
      <c r="B134" s="122" t="s">
        <v>228</v>
      </c>
      <c r="C134" s="123"/>
      <c r="D134" s="123"/>
      <c r="E134" s="123"/>
      <c r="F134" s="124"/>
      <c r="G134" s="124"/>
      <c r="H134" s="35" t="e">
        <f>IF(D46&lt;&gt;0,I134,0)</f>
        <v>#NAME?</v>
      </c>
      <c r="I134" s="36">
        <v>3</v>
      </c>
      <c r="J134" s="145"/>
      <c r="K134" s="147" t="e">
        <f t="shared" ref="K134:K163" si="14">+IF(H134=0,H134*J134,IF(H134&gt;I134,H134*J134,I134*J134))</f>
        <v>#NAME?</v>
      </c>
    </row>
    <row r="135" spans="1:11" ht="19.899999999999999" customHeight="1" x14ac:dyDescent="0.25">
      <c r="A135" s="134">
        <v>33206</v>
      </c>
      <c r="B135" s="162" t="s">
        <v>229</v>
      </c>
      <c r="C135" s="135"/>
      <c r="D135" s="135"/>
      <c r="E135" s="135"/>
      <c r="F135" s="133"/>
      <c r="G135" s="133"/>
      <c r="H135" s="35" t="e">
        <f>IF(D46&lt;&gt;0,I135,0)</f>
        <v>#NAME?</v>
      </c>
      <c r="I135" s="59">
        <v>1</v>
      </c>
      <c r="J135" s="145"/>
      <c r="K135" s="147" t="e">
        <f t="shared" si="14"/>
        <v>#NAME?</v>
      </c>
    </row>
    <row r="136" spans="1:11" ht="19.899999999999999" customHeight="1" x14ac:dyDescent="0.25">
      <c r="A136" s="122">
        <v>33209</v>
      </c>
      <c r="B136" s="148" t="s">
        <v>230</v>
      </c>
      <c r="C136" s="123"/>
      <c r="D136" s="123"/>
      <c r="E136" s="123"/>
      <c r="F136" s="124"/>
      <c r="G136" s="124"/>
      <c r="H136" s="36" t="e">
        <f>IF(D46&lt;&gt;0,I136,0)</f>
        <v>#NAME?</v>
      </c>
      <c r="I136" s="36">
        <v>7</v>
      </c>
      <c r="J136" s="145"/>
      <c r="K136" s="128" t="e">
        <f t="shared" si="14"/>
        <v>#NAME?</v>
      </c>
    </row>
    <row r="137" spans="1:11" ht="19.899999999999999" customHeight="1" x14ac:dyDescent="0.25">
      <c r="A137" s="122" t="s">
        <v>231</v>
      </c>
      <c r="B137" s="122" t="s">
        <v>232</v>
      </c>
      <c r="C137" s="123"/>
      <c r="D137" s="143"/>
      <c r="E137" s="123"/>
      <c r="F137" s="124"/>
      <c r="G137" s="124"/>
      <c r="H137" s="125" t="e">
        <f>IF(D47&lt;&gt;0,I137,0)</f>
        <v>#NAME?</v>
      </c>
      <c r="I137" s="126">
        <v>4</v>
      </c>
      <c r="J137" s="145"/>
      <c r="K137" s="147" t="e">
        <f t="shared" si="14"/>
        <v>#NAME?</v>
      </c>
    </row>
    <row r="138" spans="1:11" ht="19.899999999999999" customHeight="1" x14ac:dyDescent="0.25">
      <c r="A138" s="134" t="s">
        <v>233</v>
      </c>
      <c r="B138" s="134" t="s">
        <v>234</v>
      </c>
      <c r="C138" s="135"/>
      <c r="D138" s="163"/>
      <c r="E138" s="135"/>
      <c r="F138" s="133"/>
      <c r="G138" s="133"/>
      <c r="H138" s="62" t="e">
        <f>IF(D47&lt;&gt;0,I138,0)</f>
        <v>#NAME?</v>
      </c>
      <c r="I138" s="59">
        <v>13</v>
      </c>
      <c r="J138" s="164"/>
      <c r="K138" s="147" t="e">
        <f t="shared" si="14"/>
        <v>#NAME?</v>
      </c>
    </row>
    <row r="139" spans="1:11" ht="19.899999999999999" customHeight="1" x14ac:dyDescent="0.25">
      <c r="A139" s="122">
        <v>37305</v>
      </c>
      <c r="B139" s="148" t="s">
        <v>235</v>
      </c>
      <c r="C139" s="123"/>
      <c r="D139" s="123"/>
      <c r="E139" s="123"/>
      <c r="F139" s="124"/>
      <c r="G139" s="124"/>
      <c r="H139" s="125" t="e">
        <f>IF(D48&lt;&gt;0,I139,0)</f>
        <v>#NAME?</v>
      </c>
      <c r="I139" s="126">
        <v>2</v>
      </c>
      <c r="J139" s="145"/>
      <c r="K139" s="128" t="e">
        <f t="shared" si="14"/>
        <v>#NAME?</v>
      </c>
    </row>
    <row r="140" spans="1:11" ht="19.899999999999999" customHeight="1" x14ac:dyDescent="0.25">
      <c r="A140" s="122">
        <v>37309</v>
      </c>
      <c r="B140" s="148" t="s">
        <v>236</v>
      </c>
      <c r="C140" s="123"/>
      <c r="D140" s="123"/>
      <c r="E140" s="123"/>
      <c r="F140" s="124"/>
      <c r="G140" s="124"/>
      <c r="H140" s="35" t="e">
        <f t="shared" ref="H140:H145" si="15">IF(D48&lt;&gt;0,I140,0)</f>
        <v>#NAME?</v>
      </c>
      <c r="I140" s="36">
        <v>13</v>
      </c>
      <c r="J140" s="145"/>
      <c r="K140" s="128" t="e">
        <f t="shared" si="14"/>
        <v>#NAME?</v>
      </c>
    </row>
    <row r="141" spans="1:11" ht="19.899999999999999" customHeight="1" x14ac:dyDescent="0.25">
      <c r="A141" s="122" t="s">
        <v>237</v>
      </c>
      <c r="B141" s="122" t="s">
        <v>238</v>
      </c>
      <c r="C141" s="123"/>
      <c r="D141" s="123"/>
      <c r="E141" s="123"/>
      <c r="F141" s="124"/>
      <c r="G141" s="124"/>
      <c r="H141" s="125" t="e">
        <f t="shared" si="15"/>
        <v>#NAME?</v>
      </c>
      <c r="I141" s="126">
        <v>4</v>
      </c>
      <c r="J141" s="145"/>
      <c r="K141" s="128" t="e">
        <f t="shared" si="14"/>
        <v>#NAME?</v>
      </c>
    </row>
    <row r="142" spans="1:11" ht="19.899999999999999" customHeight="1" x14ac:dyDescent="0.25">
      <c r="A142" s="122">
        <v>33585</v>
      </c>
      <c r="B142" s="122" t="s">
        <v>239</v>
      </c>
      <c r="C142" s="123"/>
      <c r="D142" s="143"/>
      <c r="E142" s="123"/>
      <c r="F142" s="124"/>
      <c r="G142" s="124"/>
      <c r="H142" s="125" t="e">
        <f t="shared" si="15"/>
        <v>#NAME?</v>
      </c>
      <c r="I142" s="36">
        <v>2</v>
      </c>
      <c r="J142" s="145"/>
      <c r="K142" s="128" t="e">
        <f t="shared" si="14"/>
        <v>#NAME?</v>
      </c>
    </row>
    <row r="143" spans="1:11" ht="19.899999999999999" customHeight="1" x14ac:dyDescent="0.25">
      <c r="A143" s="134" t="s">
        <v>240</v>
      </c>
      <c r="B143" s="134" t="s">
        <v>241</v>
      </c>
      <c r="C143" s="135"/>
      <c r="D143" s="163"/>
      <c r="E143" s="135"/>
      <c r="F143" s="133"/>
      <c r="G143" s="133"/>
      <c r="H143" s="165" t="e">
        <f t="shared" si="15"/>
        <v>#NAME?</v>
      </c>
      <c r="I143" s="59">
        <v>12</v>
      </c>
      <c r="J143" s="164"/>
      <c r="K143" s="147" t="e">
        <f t="shared" si="14"/>
        <v>#NAME?</v>
      </c>
    </row>
    <row r="144" spans="1:11" ht="19.899999999999999" customHeight="1" x14ac:dyDescent="0.25">
      <c r="A144" s="122">
        <v>33415</v>
      </c>
      <c r="B144" s="122" t="s">
        <v>242</v>
      </c>
      <c r="C144" s="123"/>
      <c r="D144" s="143"/>
      <c r="E144" s="123"/>
      <c r="F144" s="124"/>
      <c r="G144" s="124"/>
      <c r="H144" s="125" t="e">
        <f t="shared" si="15"/>
        <v>#NAME?</v>
      </c>
      <c r="I144" s="126">
        <v>3</v>
      </c>
      <c r="J144" s="145"/>
      <c r="K144" s="128" t="e">
        <f t="shared" si="14"/>
        <v>#NAME?</v>
      </c>
    </row>
    <row r="145" spans="1:11" ht="19.899999999999999" customHeight="1" x14ac:dyDescent="0.25">
      <c r="A145" s="122">
        <v>33605</v>
      </c>
      <c r="B145" s="122" t="s">
        <v>243</v>
      </c>
      <c r="C145" s="123"/>
      <c r="D145" s="143"/>
      <c r="E145" s="123"/>
      <c r="F145" s="124"/>
      <c r="G145" s="124"/>
      <c r="H145" s="125" t="e">
        <f t="shared" si="15"/>
        <v>#NAME?</v>
      </c>
      <c r="I145" s="36">
        <v>2</v>
      </c>
      <c r="J145" s="145"/>
      <c r="K145" s="128" t="e">
        <f t="shared" si="14"/>
        <v>#NAME?</v>
      </c>
    </row>
    <row r="146" spans="1:11" ht="19.899999999999999" customHeight="1" x14ac:dyDescent="0.25">
      <c r="A146" s="122">
        <v>33606</v>
      </c>
      <c r="B146" s="122" t="s">
        <v>244</v>
      </c>
      <c r="C146" s="123"/>
      <c r="D146" s="143"/>
      <c r="E146" s="123"/>
      <c r="F146" s="124"/>
      <c r="G146" s="124"/>
      <c r="H146" s="35" t="e">
        <f t="shared" ref="H146:H151" si="16">IF(D53&lt;&gt;0,I146,0)</f>
        <v>#NAME?</v>
      </c>
      <c r="I146" s="36">
        <v>1</v>
      </c>
      <c r="J146" s="38"/>
      <c r="K146" s="128" t="e">
        <f t="shared" si="14"/>
        <v>#NAME?</v>
      </c>
    </row>
    <row r="147" spans="1:11" ht="19.899999999999999" customHeight="1" x14ac:dyDescent="0.25">
      <c r="A147" s="122">
        <v>386372</v>
      </c>
      <c r="B147" s="122" t="s">
        <v>245</v>
      </c>
      <c r="C147" s="123"/>
      <c r="D147" s="143"/>
      <c r="E147" s="123"/>
      <c r="F147" s="124"/>
      <c r="G147" s="124"/>
      <c r="H147" s="125" t="e">
        <f t="shared" si="16"/>
        <v>#NAME?</v>
      </c>
      <c r="I147" s="36">
        <v>4</v>
      </c>
      <c r="J147" s="145"/>
      <c r="K147" s="128" t="e">
        <f t="shared" si="14"/>
        <v>#NAME?</v>
      </c>
    </row>
    <row r="148" spans="1:11" ht="19.899999999999999" customHeight="1" x14ac:dyDescent="0.25">
      <c r="A148" s="122">
        <v>973244</v>
      </c>
      <c r="B148" s="122" t="s">
        <v>246</v>
      </c>
      <c r="C148" s="123"/>
      <c r="D148" s="143"/>
      <c r="E148" s="123"/>
      <c r="F148" s="124"/>
      <c r="G148" s="124"/>
      <c r="H148" s="125" t="e">
        <f t="shared" si="16"/>
        <v>#NAME?</v>
      </c>
      <c r="I148" s="36">
        <v>6</v>
      </c>
      <c r="J148" s="145"/>
      <c r="K148" s="147" t="e">
        <f t="shared" si="14"/>
        <v>#NAME?</v>
      </c>
    </row>
    <row r="149" spans="1:11" ht="19.899999999999999" customHeight="1" x14ac:dyDescent="0.25">
      <c r="A149" s="122" t="s">
        <v>247</v>
      </c>
      <c r="B149" s="122" t="s">
        <v>248</v>
      </c>
      <c r="C149" s="123"/>
      <c r="D149" s="143"/>
      <c r="E149" s="123"/>
      <c r="F149" s="124"/>
      <c r="G149" s="124"/>
      <c r="H149" s="125" t="e">
        <f t="shared" si="16"/>
        <v>#NAME?</v>
      </c>
      <c r="I149" s="36">
        <v>4</v>
      </c>
      <c r="J149" s="145"/>
      <c r="K149" s="147" t="e">
        <f t="shared" si="14"/>
        <v>#NAME?</v>
      </c>
    </row>
    <row r="150" spans="1:11" ht="19.899999999999999" customHeight="1" x14ac:dyDescent="0.25">
      <c r="A150" s="122">
        <v>33715</v>
      </c>
      <c r="B150" s="122" t="s">
        <v>249</v>
      </c>
      <c r="C150" s="123"/>
      <c r="D150" s="143"/>
      <c r="E150" s="123"/>
      <c r="F150" s="124"/>
      <c r="G150" s="124"/>
      <c r="H150" s="125" t="e">
        <f t="shared" si="16"/>
        <v>#NAME?</v>
      </c>
      <c r="I150" s="36">
        <v>2</v>
      </c>
      <c r="J150" s="145"/>
      <c r="K150" s="147" t="e">
        <f t="shared" si="14"/>
        <v>#NAME?</v>
      </c>
    </row>
    <row r="151" spans="1:11" ht="19.899999999999999" customHeight="1" x14ac:dyDescent="0.25">
      <c r="A151" s="122">
        <v>33716</v>
      </c>
      <c r="B151" s="122" t="s">
        <v>250</v>
      </c>
      <c r="C151" s="123"/>
      <c r="D151" s="143"/>
      <c r="E151" s="123"/>
      <c r="F151" s="124"/>
      <c r="G151" s="124"/>
      <c r="H151" s="125" t="e">
        <f t="shared" si="16"/>
        <v>#NAME?</v>
      </c>
      <c r="I151" s="36">
        <v>1</v>
      </c>
      <c r="J151" s="145"/>
      <c r="K151" s="128" t="e">
        <f t="shared" si="14"/>
        <v>#NAME?</v>
      </c>
    </row>
    <row r="152" spans="1:11" ht="19.899999999999999" customHeight="1" x14ac:dyDescent="0.25">
      <c r="A152" s="139">
        <v>34205</v>
      </c>
      <c r="B152" s="139" t="s">
        <v>251</v>
      </c>
      <c r="C152" s="140"/>
      <c r="D152" s="141"/>
      <c r="E152" s="140"/>
      <c r="F152" s="142"/>
      <c r="G152" s="142"/>
      <c r="H152" s="166" t="e">
        <f>IF(D58&lt;&gt;0,I152,0)</f>
        <v>#NAME?</v>
      </c>
      <c r="I152" s="56">
        <v>3</v>
      </c>
      <c r="J152" s="157"/>
      <c r="K152" s="146" t="e">
        <f t="shared" si="14"/>
        <v>#NAME?</v>
      </c>
    </row>
    <row r="153" spans="1:11" ht="19.899999999999999" customHeight="1" x14ac:dyDescent="0.25">
      <c r="A153" s="122">
        <v>34209</v>
      </c>
      <c r="B153" s="122" t="s">
        <v>252</v>
      </c>
      <c r="C153" s="123"/>
      <c r="D153" s="143"/>
      <c r="E153" s="123"/>
      <c r="F153" s="124"/>
      <c r="G153" s="124"/>
      <c r="H153" s="35" t="e">
        <f>IF(D58&lt;&gt;0,I153,0)</f>
        <v>#NAME?</v>
      </c>
      <c r="I153" s="36">
        <v>5</v>
      </c>
      <c r="J153" s="145"/>
      <c r="K153" s="147" t="e">
        <f t="shared" si="14"/>
        <v>#NAME?</v>
      </c>
    </row>
    <row r="154" spans="1:11" ht="19.899999999999999" customHeight="1" x14ac:dyDescent="0.25">
      <c r="A154" s="122">
        <v>34215</v>
      </c>
      <c r="B154" s="122" t="s">
        <v>253</v>
      </c>
      <c r="C154" s="123"/>
      <c r="D154" s="143"/>
      <c r="E154" s="123"/>
      <c r="F154" s="124"/>
      <c r="G154" s="124"/>
      <c r="H154" s="35" t="e">
        <f>IF(D59&lt;&gt;0,I154,0)</f>
        <v>#NAME?</v>
      </c>
      <c r="I154" s="36">
        <v>5</v>
      </c>
      <c r="J154" s="145"/>
      <c r="K154" s="147" t="e">
        <f t="shared" si="14"/>
        <v>#NAME?</v>
      </c>
    </row>
    <row r="155" spans="1:11" ht="19.899999999999999" customHeight="1" x14ac:dyDescent="0.25">
      <c r="A155" s="122">
        <v>34219</v>
      </c>
      <c r="B155" s="122" t="s">
        <v>254</v>
      </c>
      <c r="C155" s="123"/>
      <c r="D155" s="143"/>
      <c r="E155" s="123"/>
      <c r="F155" s="124"/>
      <c r="G155" s="124"/>
      <c r="H155" s="35" t="e">
        <f>IF(D59&lt;&gt;0,I155,0)</f>
        <v>#NAME?</v>
      </c>
      <c r="I155" s="36">
        <v>5</v>
      </c>
      <c r="J155" s="145"/>
      <c r="K155" s="147" t="e">
        <f t="shared" si="14"/>
        <v>#NAME?</v>
      </c>
    </row>
    <row r="156" spans="1:11" ht="19.899999999999999" customHeight="1" x14ac:dyDescent="0.25">
      <c r="A156" s="122" t="s">
        <v>255</v>
      </c>
      <c r="B156" s="122" t="s">
        <v>256</v>
      </c>
      <c r="C156" s="123"/>
      <c r="D156" s="143"/>
      <c r="E156" s="123"/>
      <c r="F156" s="124"/>
      <c r="G156" s="124"/>
      <c r="H156" s="35" t="e">
        <f>IF(D60&lt;&gt;0,I156,0)</f>
        <v>#NAME?</v>
      </c>
      <c r="I156" s="36">
        <v>2</v>
      </c>
      <c r="J156" s="145"/>
      <c r="K156" s="147" t="e">
        <f t="shared" si="14"/>
        <v>#NAME?</v>
      </c>
    </row>
    <row r="157" spans="1:11" ht="19.899999999999999" customHeight="1" x14ac:dyDescent="0.25">
      <c r="A157" s="122" t="s">
        <v>257</v>
      </c>
      <c r="B157" s="122" t="s">
        <v>258</v>
      </c>
      <c r="C157" s="123"/>
      <c r="D157" s="143"/>
      <c r="E157" s="123"/>
      <c r="F157" s="124"/>
      <c r="G157" s="124"/>
      <c r="H157" s="35" t="e">
        <f>IF(D60&lt;&gt;0,I157,0)</f>
        <v>#NAME?</v>
      </c>
      <c r="I157" s="36">
        <v>12</v>
      </c>
      <c r="J157" s="145"/>
      <c r="K157" s="147" t="e">
        <f t="shared" si="14"/>
        <v>#NAME?</v>
      </c>
    </row>
    <row r="158" spans="1:11" ht="19.899999999999999" customHeight="1" x14ac:dyDescent="0.25">
      <c r="A158" s="122" t="s">
        <v>259</v>
      </c>
      <c r="B158" s="122" t="s">
        <v>260</v>
      </c>
      <c r="C158" s="123"/>
      <c r="D158" s="143"/>
      <c r="E158" s="123"/>
      <c r="F158" s="124"/>
      <c r="G158" s="124"/>
      <c r="H158" s="35" t="e">
        <f>IF(D61+D62&lt;&gt;0,I158,0)</f>
        <v>#NAME?</v>
      </c>
      <c r="I158" s="36">
        <v>3</v>
      </c>
      <c r="J158" s="145"/>
      <c r="K158" s="147" t="e">
        <f t="shared" si="14"/>
        <v>#NAME?</v>
      </c>
    </row>
    <row r="159" spans="1:11" ht="19.899999999999999" customHeight="1" x14ac:dyDescent="0.25">
      <c r="A159" s="122" t="s">
        <v>261</v>
      </c>
      <c r="B159" s="122" t="s">
        <v>262</v>
      </c>
      <c r="C159" s="123"/>
      <c r="D159" s="143"/>
      <c r="E159" s="123"/>
      <c r="F159" s="124"/>
      <c r="G159" s="124"/>
      <c r="H159" s="35" t="e">
        <f>IF(D61+D62&lt;&gt;0,I159,0)</f>
        <v>#NAME?</v>
      </c>
      <c r="I159" s="36">
        <v>10</v>
      </c>
      <c r="J159" s="145"/>
      <c r="K159" s="147" t="e">
        <f t="shared" si="14"/>
        <v>#NAME?</v>
      </c>
    </row>
    <row r="160" spans="1:11" ht="19.899999999999999" customHeight="1" x14ac:dyDescent="0.25">
      <c r="A160" s="122">
        <v>34245</v>
      </c>
      <c r="B160" s="122" t="s">
        <v>263</v>
      </c>
      <c r="C160" s="123"/>
      <c r="D160" s="143"/>
      <c r="E160" s="123"/>
      <c r="F160" s="124"/>
      <c r="G160" s="124"/>
      <c r="H160" s="35" t="e">
        <f>IF(D63&lt;&gt;0,I160,0)</f>
        <v>#NAME?</v>
      </c>
      <c r="I160" s="36">
        <v>5</v>
      </c>
      <c r="J160" s="145"/>
      <c r="K160" s="147" t="e">
        <f t="shared" si="14"/>
        <v>#NAME?</v>
      </c>
    </row>
    <row r="161" spans="1:11" ht="19.899999999999999" customHeight="1" x14ac:dyDescent="0.25">
      <c r="A161" s="122">
        <v>34249</v>
      </c>
      <c r="B161" s="122" t="s">
        <v>264</v>
      </c>
      <c r="C161" s="123"/>
      <c r="D161" s="143"/>
      <c r="E161" s="123"/>
      <c r="F161" s="124"/>
      <c r="G161" s="124"/>
      <c r="H161" s="35" t="e">
        <f>IF(D63&lt;&gt;0,I161,0)</f>
        <v>#NAME?</v>
      </c>
      <c r="I161" s="36">
        <v>9</v>
      </c>
      <c r="J161" s="145"/>
      <c r="K161" s="147" t="e">
        <f t="shared" si="14"/>
        <v>#NAME?</v>
      </c>
    </row>
    <row r="162" spans="1:11" ht="19.899999999999999" customHeight="1" x14ac:dyDescent="0.25">
      <c r="A162" s="122">
        <v>34255</v>
      </c>
      <c r="B162" s="122" t="s">
        <v>265</v>
      </c>
      <c r="C162" s="123"/>
      <c r="D162" s="143"/>
      <c r="E162" s="123"/>
      <c r="F162" s="124"/>
      <c r="G162" s="124"/>
      <c r="H162" s="35" t="e">
        <f>IF(D64&lt;&gt;0,I162,0)</f>
        <v>#NAME?</v>
      </c>
      <c r="I162" s="36">
        <v>5</v>
      </c>
      <c r="J162" s="145"/>
      <c r="K162" s="147" t="e">
        <f t="shared" si="14"/>
        <v>#NAME?</v>
      </c>
    </row>
    <row r="163" spans="1:11" ht="19.899999999999999" customHeight="1" x14ac:dyDescent="0.25">
      <c r="A163" s="134">
        <v>34259</v>
      </c>
      <c r="B163" s="122" t="s">
        <v>266</v>
      </c>
      <c r="C163" s="123"/>
      <c r="D163" s="143"/>
      <c r="E163" s="123"/>
      <c r="F163" s="124"/>
      <c r="G163" s="124"/>
      <c r="H163" s="35" t="e">
        <f>IF(D64&lt;&gt;0,I163,0)</f>
        <v>#NAME?</v>
      </c>
      <c r="I163" s="36">
        <v>7</v>
      </c>
      <c r="J163" s="145"/>
      <c r="K163" s="147" t="e">
        <f t="shared" si="14"/>
        <v>#NAME?</v>
      </c>
    </row>
    <row r="164" spans="1:11" ht="19.899999999999999" customHeight="1" x14ac:dyDescent="0.25">
      <c r="A164" s="167" t="s">
        <v>267</v>
      </c>
      <c r="B164" s="167" t="s">
        <v>268</v>
      </c>
      <c r="C164" s="168"/>
      <c r="D164" s="168"/>
      <c r="E164" s="168"/>
      <c r="F164" s="169"/>
      <c r="G164" s="169"/>
      <c r="H164" s="91" t="e">
        <f>IF(D65&lt;&gt;0,I164,0)</f>
        <v>#NAME?</v>
      </c>
      <c r="I164" s="92">
        <v>2</v>
      </c>
      <c r="J164" s="145"/>
      <c r="K164" s="98" t="s">
        <v>133</v>
      </c>
    </row>
    <row r="165" spans="1:11" ht="19.899999999999999" customHeight="1" x14ac:dyDescent="0.25">
      <c r="A165" s="167" t="s">
        <v>269</v>
      </c>
      <c r="B165" s="167" t="s">
        <v>270</v>
      </c>
      <c r="C165" s="168"/>
      <c r="D165" s="168"/>
      <c r="E165" s="168"/>
      <c r="F165" s="169"/>
      <c r="G165" s="169"/>
      <c r="H165" s="91" t="e">
        <f>IF(D65&lt;&gt;0,I165,0)</f>
        <v>#NAME?</v>
      </c>
      <c r="I165" s="92">
        <v>2</v>
      </c>
      <c r="J165" s="145"/>
      <c r="K165" s="98" t="s">
        <v>133</v>
      </c>
    </row>
    <row r="166" spans="1:11" ht="19.899999999999999" customHeight="1" x14ac:dyDescent="0.25">
      <c r="A166" s="167">
        <v>34335</v>
      </c>
      <c r="B166" s="170" t="s">
        <v>271</v>
      </c>
      <c r="C166" s="171"/>
      <c r="D166" s="171"/>
      <c r="E166" s="171"/>
      <c r="F166" s="172"/>
      <c r="G166" s="172"/>
      <c r="H166" s="91" t="e">
        <f>IF(D66&lt;&gt;0,I166,0)</f>
        <v>#NAME?</v>
      </c>
      <c r="I166" s="173">
        <v>2</v>
      </c>
      <c r="J166" s="145"/>
      <c r="K166" s="98" t="s">
        <v>133</v>
      </c>
    </row>
    <row r="167" spans="1:11" ht="19.899999999999999" customHeight="1" x14ac:dyDescent="0.25">
      <c r="A167" s="174">
        <v>34339</v>
      </c>
      <c r="B167" s="174" t="s">
        <v>272</v>
      </c>
      <c r="C167" s="175"/>
      <c r="D167" s="175"/>
      <c r="E167" s="175"/>
      <c r="F167" s="176"/>
      <c r="G167" s="176"/>
      <c r="H167" s="177" t="e">
        <f>IF(D66&lt;&gt;0,I167,0)</f>
        <v>#NAME?</v>
      </c>
      <c r="I167" s="173">
        <v>2</v>
      </c>
      <c r="J167" s="164"/>
      <c r="K167" s="178" t="s">
        <v>133</v>
      </c>
    </row>
    <row r="168" spans="1:11" ht="19.899999999999999" customHeight="1" x14ac:dyDescent="0.25">
      <c r="A168" s="179">
        <v>81904</v>
      </c>
      <c r="B168" s="179" t="s">
        <v>273</v>
      </c>
      <c r="C168" s="180"/>
      <c r="D168" s="180"/>
      <c r="E168" s="180"/>
      <c r="F168" s="181"/>
      <c r="G168" s="181"/>
      <c r="H168" s="182" t="e">
        <f>Sheet5!E14</f>
        <v>#NAME?</v>
      </c>
      <c r="I168" s="36">
        <v>2</v>
      </c>
      <c r="J168" s="145"/>
      <c r="K168" s="128" t="e">
        <f t="shared" ref="K168:K177" si="17">+IF(H168=0,H168*J168,IF(H168&gt;I168,H168*J168,I168*J168))</f>
        <v>#NAME?</v>
      </c>
    </row>
    <row r="169" spans="1:11" ht="19.899999999999999" customHeight="1" x14ac:dyDescent="0.25">
      <c r="A169" s="179">
        <v>81906</v>
      </c>
      <c r="B169" s="179" t="s">
        <v>274</v>
      </c>
      <c r="C169" s="180"/>
      <c r="D169" s="183"/>
      <c r="E169" s="180"/>
      <c r="F169" s="181"/>
      <c r="G169" s="181"/>
      <c r="H169" s="182" t="e">
        <f>Sheet5!E15</f>
        <v>#NAME?</v>
      </c>
      <c r="I169" s="36">
        <v>5</v>
      </c>
      <c r="J169" s="145"/>
      <c r="K169" s="128" t="e">
        <f t="shared" si="17"/>
        <v>#NAME?</v>
      </c>
    </row>
    <row r="170" spans="1:11" ht="19.899999999999999" customHeight="1" x14ac:dyDescent="0.25">
      <c r="A170" s="179" t="s">
        <v>275</v>
      </c>
      <c r="B170" s="179" t="s">
        <v>276</v>
      </c>
      <c r="C170" s="180"/>
      <c r="D170" s="183"/>
      <c r="E170" s="180"/>
      <c r="F170" s="181"/>
      <c r="G170" s="181"/>
      <c r="H170" s="182" t="e">
        <f>Sheet5!E16</f>
        <v>#NAME?</v>
      </c>
      <c r="I170" s="36">
        <v>10</v>
      </c>
      <c r="J170" s="145"/>
      <c r="K170" s="128" t="e">
        <f t="shared" si="17"/>
        <v>#NAME?</v>
      </c>
    </row>
    <row r="171" spans="1:11" ht="19.899999999999999" customHeight="1" x14ac:dyDescent="0.25">
      <c r="A171" s="179">
        <v>81908</v>
      </c>
      <c r="B171" s="184" t="s">
        <v>277</v>
      </c>
      <c r="C171" s="185"/>
      <c r="D171" s="185"/>
      <c r="E171" s="185"/>
      <c r="F171" s="181"/>
      <c r="G171" s="181"/>
      <c r="H171" s="182">
        <v>1</v>
      </c>
      <c r="I171" s="36">
        <v>1</v>
      </c>
      <c r="J171" s="145"/>
      <c r="K171" s="128">
        <f t="shared" si="17"/>
        <v>0</v>
      </c>
    </row>
    <row r="172" spans="1:11" ht="19.899999999999999" customHeight="1" x14ac:dyDescent="0.25">
      <c r="A172" s="179">
        <v>81910</v>
      </c>
      <c r="B172" s="184" t="s">
        <v>278</v>
      </c>
      <c r="C172" s="185"/>
      <c r="D172" s="185"/>
      <c r="E172" s="185"/>
      <c r="F172" s="181"/>
      <c r="G172" s="181"/>
      <c r="H172" s="182">
        <f>Sheet5!E23</f>
        <v>4</v>
      </c>
      <c r="I172" s="36">
        <v>4</v>
      </c>
      <c r="J172" s="145"/>
      <c r="K172" s="128">
        <f t="shared" si="17"/>
        <v>0</v>
      </c>
    </row>
    <row r="173" spans="1:11" ht="19.899999999999999" customHeight="1" x14ac:dyDescent="0.25">
      <c r="A173" s="179">
        <v>81901</v>
      </c>
      <c r="B173" s="179" t="s">
        <v>279</v>
      </c>
      <c r="C173" s="180"/>
      <c r="D173" s="180"/>
      <c r="E173" s="180"/>
      <c r="F173" s="181"/>
      <c r="G173" s="181"/>
      <c r="H173" s="182" t="e">
        <f>Sheet5!E17</f>
        <v>#NAME?</v>
      </c>
      <c r="I173" s="36">
        <v>5</v>
      </c>
      <c r="J173" s="145"/>
      <c r="K173" s="128" t="e">
        <f t="shared" si="17"/>
        <v>#NAME?</v>
      </c>
    </row>
    <row r="174" spans="1:11" ht="19.899999999999999" customHeight="1" x14ac:dyDescent="0.25">
      <c r="A174" s="179">
        <v>81902</v>
      </c>
      <c r="B174" s="184" t="s">
        <v>280</v>
      </c>
      <c r="C174" s="180"/>
      <c r="D174" s="180"/>
      <c r="E174" s="180"/>
      <c r="F174" s="181"/>
      <c r="G174" s="181"/>
      <c r="H174" s="182" t="e">
        <f>Sheet5!E18</f>
        <v>#VALUE!</v>
      </c>
      <c r="I174" s="36">
        <v>4</v>
      </c>
      <c r="J174" s="145"/>
      <c r="K174" s="128" t="e">
        <f t="shared" si="17"/>
        <v>#VALUE!</v>
      </c>
    </row>
    <row r="175" spans="1:11" ht="19.899999999999999" customHeight="1" x14ac:dyDescent="0.25">
      <c r="A175" s="179">
        <v>973001</v>
      </c>
      <c r="B175" s="179" t="s">
        <v>281</v>
      </c>
      <c r="C175" s="180"/>
      <c r="D175" s="180"/>
      <c r="E175" s="186"/>
      <c r="F175" s="187"/>
      <c r="G175" s="180"/>
      <c r="H175" s="182">
        <f>I175</f>
        <v>5</v>
      </c>
      <c r="I175" s="36">
        <v>5</v>
      </c>
      <c r="J175" s="145"/>
      <c r="K175" s="128">
        <f t="shared" si="17"/>
        <v>0</v>
      </c>
    </row>
    <row r="176" spans="1:11" ht="19.899999999999999" customHeight="1" x14ac:dyDescent="0.25">
      <c r="A176" s="179">
        <v>81911</v>
      </c>
      <c r="B176" s="184" t="s">
        <v>282</v>
      </c>
      <c r="C176" s="180"/>
      <c r="D176" s="180"/>
      <c r="E176" s="180"/>
      <c r="F176" s="181"/>
      <c r="G176" s="181"/>
      <c r="H176" s="182">
        <f>Sheet5!E20</f>
        <v>1</v>
      </c>
      <c r="I176" s="36">
        <v>1</v>
      </c>
      <c r="J176" s="145"/>
      <c r="K176" s="128">
        <f t="shared" si="17"/>
        <v>0</v>
      </c>
    </row>
    <row r="177" spans="1:11" s="116" customFormat="1" ht="19.899999999999999" customHeight="1" x14ac:dyDescent="0.25">
      <c r="A177" s="179">
        <v>81912</v>
      </c>
      <c r="B177" s="179" t="s">
        <v>283</v>
      </c>
      <c r="C177" s="180"/>
      <c r="D177" s="180"/>
      <c r="E177" s="180"/>
      <c r="F177" s="181"/>
      <c r="G177" s="181"/>
      <c r="H177" s="182">
        <f>Sheet5!E21</f>
        <v>1</v>
      </c>
      <c r="I177" s="36">
        <v>1</v>
      </c>
      <c r="J177" s="38"/>
      <c r="K177" s="131">
        <f t="shared" si="17"/>
        <v>0</v>
      </c>
    </row>
    <row r="178" spans="1:11" ht="19.899999999999999" customHeight="1" x14ac:dyDescent="0.25">
      <c r="A178" s="188"/>
      <c r="B178" s="189" t="s">
        <v>284</v>
      </c>
      <c r="C178" s="190"/>
      <c r="D178" s="190"/>
      <c r="E178" s="191"/>
      <c r="F178" s="192"/>
      <c r="G178" s="192"/>
      <c r="H178" s="193"/>
      <c r="I178" s="193"/>
      <c r="J178" s="194"/>
      <c r="K178" s="195" t="e">
        <f>SUM(K70:K163)+SUM(K168:K177)</f>
        <v>#NAME?</v>
      </c>
    </row>
    <row r="179" spans="1:11" ht="19.899999999999999" customHeight="1" thickBot="1" x14ac:dyDescent="0.3">
      <c r="A179" s="196"/>
      <c r="B179" s="197" t="s">
        <v>285</v>
      </c>
      <c r="C179" s="198"/>
      <c r="D179" s="198"/>
      <c r="E179" s="199"/>
      <c r="F179" s="200"/>
      <c r="G179" s="200"/>
      <c r="H179" s="201"/>
      <c r="I179" s="201"/>
      <c r="J179" s="202"/>
      <c r="K179" s="203" t="e">
        <f>+K68+K178</f>
        <v>#NAME?</v>
      </c>
    </row>
    <row r="180" spans="1:11" ht="19.899999999999999" customHeight="1" thickTop="1" x14ac:dyDescent="0.25">
      <c r="A180" s="204"/>
      <c r="B180" s="23" t="s">
        <v>286</v>
      </c>
      <c r="C180" s="205"/>
      <c r="D180" s="205"/>
      <c r="E180" s="206"/>
      <c r="F180" s="207"/>
      <c r="G180" s="207"/>
      <c r="H180" s="207"/>
      <c r="I180" s="207"/>
      <c r="J180" s="208"/>
      <c r="K180" s="112" t="e">
        <f>K179/E67</f>
        <v>#NAME?</v>
      </c>
    </row>
    <row r="181" spans="1:11" ht="19.899999999999999" customHeight="1" thickBot="1" x14ac:dyDescent="0.3">
      <c r="A181" s="209"/>
      <c r="B181" s="210" t="s">
        <v>287</v>
      </c>
      <c r="C181" s="211"/>
      <c r="D181" s="211"/>
      <c r="E181" s="211"/>
      <c r="F181" s="212"/>
      <c r="G181" s="212"/>
      <c r="H181" s="212"/>
      <c r="I181" s="212"/>
      <c r="J181" s="213"/>
      <c r="K181" s="214" t="e">
        <f>K179/D67</f>
        <v>#NAME?</v>
      </c>
    </row>
    <row r="182" spans="1:11" ht="19.899999999999999" customHeight="1" thickTop="1" x14ac:dyDescent="0.2">
      <c r="A182" s="204"/>
      <c r="B182" s="215"/>
      <c r="C182" s="216"/>
      <c r="D182" s="216"/>
      <c r="E182" s="216"/>
      <c r="F182" s="137"/>
      <c r="G182" s="126"/>
      <c r="H182" s="126"/>
      <c r="I182" s="126"/>
      <c r="J182" s="145"/>
      <c r="K182" s="112"/>
    </row>
    <row r="183" spans="1:11" ht="19.899999999999999" customHeight="1" x14ac:dyDescent="0.25">
      <c r="A183" s="217"/>
      <c r="B183" s="218"/>
      <c r="C183" s="219"/>
      <c r="D183" s="219"/>
      <c r="E183" s="219"/>
      <c r="F183" s="220" t="s">
        <v>288</v>
      </c>
      <c r="G183" s="41"/>
      <c r="H183" s="41"/>
      <c r="I183" s="221">
        <v>0</v>
      </c>
      <c r="J183" s="222"/>
      <c r="K183" s="223"/>
    </row>
    <row r="184" spans="1:11" ht="19.899999999999999" customHeight="1" x14ac:dyDescent="0.25">
      <c r="A184" s="217"/>
      <c r="B184" s="224" t="s">
        <v>289</v>
      </c>
      <c r="C184" s="225"/>
      <c r="D184" s="225"/>
      <c r="E184" s="225"/>
      <c r="F184" s="226" t="s">
        <v>290</v>
      </c>
      <c r="G184" s="41"/>
      <c r="H184" s="41"/>
      <c r="I184" s="221">
        <v>0</v>
      </c>
      <c r="J184" s="222"/>
      <c r="K184" s="223"/>
    </row>
    <row r="185" spans="1:11" ht="19.899999999999999" customHeight="1" x14ac:dyDescent="0.25">
      <c r="A185" s="217"/>
      <c r="B185" s="224" t="s">
        <v>291</v>
      </c>
      <c r="C185" s="225"/>
      <c r="D185" s="225"/>
      <c r="E185" s="225"/>
      <c r="F185" s="226" t="s">
        <v>292</v>
      </c>
      <c r="G185" s="41"/>
      <c r="H185" s="41"/>
      <c r="I185" s="227">
        <v>0.34</v>
      </c>
      <c r="J185" s="222"/>
      <c r="K185" s="223"/>
    </row>
    <row r="186" spans="1:11" ht="19.899999999999999" customHeight="1" x14ac:dyDescent="0.25">
      <c r="A186" s="217"/>
      <c r="B186" s="224" t="s">
        <v>293</v>
      </c>
      <c r="C186" s="225"/>
      <c r="D186" s="225"/>
      <c r="E186" s="225"/>
      <c r="F186" s="226"/>
      <c r="G186" s="41"/>
      <c r="H186" s="41"/>
      <c r="I186" s="41"/>
      <c r="J186" s="222"/>
      <c r="K186" s="223"/>
    </row>
    <row r="187" spans="1:11" ht="19.899999999999999" customHeight="1" x14ac:dyDescent="0.25">
      <c r="A187" s="217"/>
      <c r="B187" s="224" t="s">
        <v>294</v>
      </c>
      <c r="C187" s="225"/>
      <c r="D187" s="225"/>
      <c r="E187" s="225"/>
      <c r="F187" s="226"/>
      <c r="G187" s="41"/>
      <c r="H187" s="41"/>
      <c r="I187" s="41"/>
      <c r="J187" s="222"/>
      <c r="K187" s="223"/>
    </row>
    <row r="188" spans="1:11" ht="19.899999999999999" customHeight="1" x14ac:dyDescent="0.25">
      <c r="A188" s="217"/>
      <c r="B188" s="224"/>
      <c r="C188" s="225"/>
      <c r="D188" s="225"/>
      <c r="E188" s="228"/>
      <c r="F188" s="229" t="s">
        <v>295</v>
      </c>
      <c r="G188" s="41"/>
      <c r="H188" s="41"/>
      <c r="I188" s="41"/>
      <c r="J188" s="222"/>
      <c r="K188" s="223"/>
    </row>
    <row r="189" spans="1:11" ht="19.899999999999999" customHeight="1" x14ac:dyDescent="0.25">
      <c r="A189" s="217"/>
      <c r="B189" s="230"/>
      <c r="C189" s="231"/>
      <c r="D189" s="231" t="s">
        <v>295</v>
      </c>
      <c r="E189" s="231" t="s">
        <v>296</v>
      </c>
      <c r="F189" s="232">
        <v>0</v>
      </c>
      <c r="G189" s="41"/>
      <c r="H189" s="41"/>
      <c r="I189" s="41"/>
      <c r="J189" s="233" t="s">
        <v>297</v>
      </c>
      <c r="K189" s="234" t="e">
        <f>K179*(100-F189)/100</f>
        <v>#NAME?</v>
      </c>
    </row>
    <row r="190" spans="1:11" ht="19.899999999999999" customHeight="1" x14ac:dyDescent="0.25">
      <c r="A190" s="217"/>
      <c r="F190" s="41"/>
      <c r="G190" s="41"/>
      <c r="H190" s="41"/>
      <c r="I190" s="41"/>
      <c r="J190" s="233" t="s">
        <v>298</v>
      </c>
      <c r="K190" s="234" t="e">
        <f>K180*(100-F189)/100</f>
        <v>#NAME?</v>
      </c>
    </row>
    <row r="191" spans="1:11" ht="19.899999999999999" customHeight="1" x14ac:dyDescent="0.25">
      <c r="A191" s="217"/>
      <c r="F191" s="41"/>
      <c r="G191" s="41"/>
      <c r="H191" s="41"/>
      <c r="I191" s="41"/>
      <c r="J191" s="233" t="s">
        <v>299</v>
      </c>
      <c r="K191" s="234" t="e">
        <f>K181*(100-F189)/100</f>
        <v>#NAME?</v>
      </c>
    </row>
    <row r="192" spans="1:11" x14ac:dyDescent="0.2">
      <c r="A192" s="217"/>
      <c r="F192" s="41"/>
      <c r="G192" s="41"/>
      <c r="H192" s="41"/>
      <c r="I192" s="41"/>
      <c r="J192" s="222"/>
      <c r="K192" s="223"/>
    </row>
    <row r="193" spans="1:11" x14ac:dyDescent="0.2">
      <c r="A193" s="236"/>
      <c r="B193" s="237"/>
      <c r="C193" s="238"/>
      <c r="D193" s="238"/>
      <c r="E193" s="238"/>
      <c r="F193" s="239"/>
      <c r="G193" s="239"/>
      <c r="H193" s="239"/>
      <c r="I193" s="239"/>
      <c r="J193" s="240"/>
      <c r="K193" s="241"/>
    </row>
    <row r="194" spans="1:11" x14ac:dyDescent="0.2">
      <c r="F194" s="41"/>
      <c r="G194" s="41"/>
      <c r="H194" s="41"/>
      <c r="I194" s="41"/>
      <c r="J194" s="222"/>
      <c r="K194" s="222"/>
    </row>
    <row r="195" spans="1:11" x14ac:dyDescent="0.2">
      <c r="F195" s="41"/>
      <c r="G195" s="41"/>
      <c r="H195" s="41"/>
      <c r="I195" s="41"/>
      <c r="J195" s="222"/>
      <c r="K195" s="222"/>
    </row>
    <row r="196" spans="1:11" x14ac:dyDescent="0.2">
      <c r="F196" s="41"/>
      <c r="G196" s="41"/>
      <c r="H196" s="41"/>
      <c r="I196" s="41"/>
      <c r="J196" s="222"/>
      <c r="K196" s="222"/>
    </row>
    <row r="197" spans="1:11" x14ac:dyDescent="0.2">
      <c r="F197" s="41"/>
      <c r="G197" s="41"/>
      <c r="H197" s="41"/>
      <c r="I197" s="41"/>
      <c r="J197" s="222"/>
      <c r="K197" s="222"/>
    </row>
    <row r="198" spans="1:11" x14ac:dyDescent="0.2">
      <c r="F198" s="41"/>
      <c r="G198" s="41"/>
      <c r="H198" s="41"/>
      <c r="I198" s="41"/>
      <c r="J198" s="222"/>
      <c r="K198" s="222"/>
    </row>
    <row r="199" spans="1:11" x14ac:dyDescent="0.2">
      <c r="F199" s="41"/>
      <c r="G199" s="41"/>
      <c r="H199" s="41"/>
      <c r="I199" s="41"/>
      <c r="J199" s="222"/>
      <c r="K199" s="222"/>
    </row>
    <row r="200" spans="1:11" x14ac:dyDescent="0.2">
      <c r="F200" s="41"/>
      <c r="G200" s="41"/>
      <c r="H200" s="41"/>
      <c r="I200" s="41"/>
      <c r="J200" s="222"/>
      <c r="K200" s="222"/>
    </row>
    <row r="201" spans="1:11" x14ac:dyDescent="0.2">
      <c r="F201" s="41"/>
      <c r="G201" s="41"/>
      <c r="H201" s="41"/>
      <c r="I201" s="41"/>
      <c r="J201" s="222"/>
      <c r="K201" s="222"/>
    </row>
    <row r="202" spans="1:11" x14ac:dyDescent="0.2">
      <c r="F202" s="41"/>
      <c r="G202" s="41"/>
      <c r="H202" s="41"/>
      <c r="I202" s="41"/>
      <c r="J202" s="222"/>
      <c r="K202" s="222"/>
    </row>
    <row r="203" spans="1:11" x14ac:dyDescent="0.2">
      <c r="F203" s="41"/>
      <c r="G203" s="41"/>
      <c r="H203" s="41"/>
      <c r="I203" s="41"/>
      <c r="J203" s="222"/>
      <c r="K203" s="222"/>
    </row>
    <row r="204" spans="1:11" x14ac:dyDescent="0.2">
      <c r="F204" s="41"/>
      <c r="G204" s="41"/>
      <c r="H204" s="41"/>
      <c r="I204" s="41"/>
      <c r="J204" s="222"/>
      <c r="K204" s="222"/>
    </row>
    <row r="214" spans="1:1" x14ac:dyDescent="0.2">
      <c r="A214" s="243"/>
    </row>
    <row r="215" spans="1:1" x14ac:dyDescent="0.2">
      <c r="A215" s="243"/>
    </row>
    <row r="216" spans="1:1" x14ac:dyDescent="0.2">
      <c r="A216" s="243"/>
    </row>
    <row r="217" spans="1:1" x14ac:dyDescent="0.2">
      <c r="A217" s="243"/>
    </row>
    <row r="218" spans="1:1" x14ac:dyDescent="0.2">
      <c r="A218" s="243"/>
    </row>
    <row r="219" spans="1:1" x14ac:dyDescent="0.2">
      <c r="A219" s="243"/>
    </row>
    <row r="220" spans="1:1" x14ac:dyDescent="0.2">
      <c r="A220" s="243"/>
    </row>
    <row r="221" spans="1:1" x14ac:dyDescent="0.2">
      <c r="A221" s="243"/>
    </row>
    <row r="222" spans="1:1" x14ac:dyDescent="0.2">
      <c r="A222" s="243"/>
    </row>
    <row r="223" spans="1:1" x14ac:dyDescent="0.2">
      <c r="A223" s="243"/>
    </row>
    <row r="224" spans="1:1" x14ac:dyDescent="0.2">
      <c r="A224" s="243"/>
    </row>
    <row r="225" spans="1:1" x14ac:dyDescent="0.2">
      <c r="A225" s="243"/>
    </row>
    <row r="226" spans="1:1" x14ac:dyDescent="0.2">
      <c r="A226" s="243"/>
    </row>
  </sheetData>
  <conditionalFormatting sqref="J4">
    <cfRule type="expression" dxfId="1" priority="2" stopIfTrue="1">
      <formula>AND($H$4&lt;&gt;0,$J$4=0)</formula>
    </cfRule>
  </conditionalFormatting>
  <conditionalFormatting sqref="J5">
    <cfRule type="expression" dxfId="0" priority="3" stopIfTrue="1">
      <formula>$H$5&gt;0&amp;$J$5=0</formula>
    </cfRule>
  </conditionalFormatting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/>
  </sheetViews>
  <sheetFormatPr defaultRowHeight="14.25" x14ac:dyDescent="0.2"/>
  <cols>
    <col min="1" max="1" width="42.875" customWidth="1"/>
    <col min="2" max="2" width="10" style="245" customWidth="1"/>
    <col min="3" max="9" width="16.5" style="245" customWidth="1"/>
    <col min="10" max="1024" width="8.25" customWidth="1"/>
  </cols>
  <sheetData>
    <row r="1" spans="1:9" ht="15" x14ac:dyDescent="0.25">
      <c r="A1" s="244" t="s">
        <v>300</v>
      </c>
      <c r="C1" s="246" t="s">
        <v>301</v>
      </c>
    </row>
    <row r="3" spans="1:9" ht="15" x14ac:dyDescent="0.25">
      <c r="A3" s="247" t="s">
        <v>302</v>
      </c>
      <c r="B3" s="248" t="s">
        <v>303</v>
      </c>
      <c r="C3" s="248" t="s">
        <v>304</v>
      </c>
      <c r="D3" s="248" t="s">
        <v>305</v>
      </c>
      <c r="E3" s="248" t="s">
        <v>306</v>
      </c>
      <c r="F3" s="248" t="s">
        <v>307</v>
      </c>
      <c r="G3" s="248" t="s">
        <v>308</v>
      </c>
      <c r="H3" s="248" t="s">
        <v>309</v>
      </c>
      <c r="I3" s="248" t="s">
        <v>310</v>
      </c>
    </row>
    <row r="4" spans="1:9" ht="15" x14ac:dyDescent="0.25">
      <c r="A4" s="249" t="s">
        <v>311</v>
      </c>
      <c r="B4" s="250">
        <v>1</v>
      </c>
      <c r="C4" s="250">
        <v>365</v>
      </c>
      <c r="D4" s="250" t="s">
        <v>312</v>
      </c>
      <c r="E4" s="250" t="s">
        <v>313</v>
      </c>
      <c r="F4" s="250" t="s">
        <v>314</v>
      </c>
      <c r="G4" s="250" t="s">
        <v>315</v>
      </c>
      <c r="H4" s="250">
        <v>2</v>
      </c>
      <c r="I4" s="250">
        <v>2</v>
      </c>
    </row>
    <row r="5" spans="1:9" ht="15" x14ac:dyDescent="0.25">
      <c r="A5" s="247" t="s">
        <v>316</v>
      </c>
      <c r="B5" s="251">
        <v>0</v>
      </c>
      <c r="C5" s="251">
        <v>0</v>
      </c>
      <c r="D5" s="251">
        <v>0</v>
      </c>
      <c r="E5" s="251">
        <v>0</v>
      </c>
      <c r="F5" s="251" t="s">
        <v>317</v>
      </c>
      <c r="G5" s="251" t="s">
        <v>318</v>
      </c>
      <c r="H5" s="251">
        <v>0</v>
      </c>
      <c r="I5" s="251">
        <v>0</v>
      </c>
    </row>
    <row r="6" spans="1:9" ht="15" x14ac:dyDescent="0.25">
      <c r="A6" s="247" t="s">
        <v>319</v>
      </c>
      <c r="B6" s="251">
        <v>3</v>
      </c>
      <c r="C6" s="251">
        <v>1095</v>
      </c>
      <c r="D6" s="251">
        <v>0</v>
      </c>
      <c r="E6" s="251">
        <v>0</v>
      </c>
      <c r="F6" s="251" t="s">
        <v>320</v>
      </c>
      <c r="G6" s="251" t="s">
        <v>321</v>
      </c>
      <c r="H6" s="251">
        <v>4</v>
      </c>
      <c r="I6" s="251">
        <v>4</v>
      </c>
    </row>
    <row r="7" spans="1:9" ht="15" x14ac:dyDescent="0.25">
      <c r="A7" s="247" t="s">
        <v>322</v>
      </c>
      <c r="B7" s="251">
        <v>3</v>
      </c>
      <c r="C7" s="251">
        <v>1095</v>
      </c>
      <c r="D7" s="251">
        <v>0</v>
      </c>
      <c r="E7" s="251">
        <v>0</v>
      </c>
      <c r="F7" s="251" t="s">
        <v>323</v>
      </c>
      <c r="G7" s="251" t="s">
        <v>324</v>
      </c>
      <c r="H7" s="251">
        <v>4</v>
      </c>
      <c r="I7" s="251">
        <v>4</v>
      </c>
    </row>
    <row r="8" spans="1:9" ht="15" x14ac:dyDescent="0.25">
      <c r="A8" s="252" t="s">
        <v>325</v>
      </c>
      <c r="B8" s="253"/>
      <c r="C8" s="253"/>
      <c r="D8" s="253">
        <v>0</v>
      </c>
      <c r="E8" s="253">
        <v>0</v>
      </c>
      <c r="F8" s="253" t="s">
        <v>326</v>
      </c>
      <c r="G8" s="253" t="s">
        <v>327</v>
      </c>
      <c r="H8" s="254"/>
      <c r="I8" s="254"/>
    </row>
    <row r="9" spans="1:9" ht="15" x14ac:dyDescent="0.25">
      <c r="A9" s="247" t="s">
        <v>328</v>
      </c>
      <c r="B9" s="253">
        <v>35</v>
      </c>
      <c r="C9" s="251">
        <v>1820</v>
      </c>
      <c r="D9" s="251" t="s">
        <v>329</v>
      </c>
      <c r="E9" s="251" t="s">
        <v>330</v>
      </c>
      <c r="F9" s="251" t="s">
        <v>331</v>
      </c>
      <c r="G9" s="251" t="s">
        <v>332</v>
      </c>
      <c r="H9" s="253">
        <v>6</v>
      </c>
      <c r="I9" s="251">
        <v>6</v>
      </c>
    </row>
    <row r="10" spans="1:9" ht="15" x14ac:dyDescent="0.25">
      <c r="A10" s="252" t="s">
        <v>333</v>
      </c>
      <c r="B10" s="253">
        <v>3</v>
      </c>
      <c r="C10" s="251">
        <v>1095</v>
      </c>
      <c r="D10" s="253" t="s">
        <v>334</v>
      </c>
      <c r="E10" s="251" t="s">
        <v>335</v>
      </c>
      <c r="F10" s="253" t="s">
        <v>336</v>
      </c>
      <c r="G10" s="251" t="s">
        <v>337</v>
      </c>
      <c r="H10" s="253">
        <v>4</v>
      </c>
      <c r="I10" s="251">
        <v>4</v>
      </c>
    </row>
    <row r="11" spans="1:9" ht="15" x14ac:dyDescent="0.25">
      <c r="A11" s="252" t="s">
        <v>338</v>
      </c>
      <c r="B11" s="253">
        <v>3</v>
      </c>
      <c r="C11" s="253">
        <v>1095</v>
      </c>
      <c r="D11" s="253" t="s">
        <v>339</v>
      </c>
      <c r="E11" s="253" t="s">
        <v>340</v>
      </c>
      <c r="F11" s="253" t="s">
        <v>341</v>
      </c>
      <c r="G11" s="253" t="s">
        <v>342</v>
      </c>
      <c r="H11" s="253">
        <v>4</v>
      </c>
      <c r="I11" s="253">
        <v>4</v>
      </c>
    </row>
    <row r="12" spans="1:9" ht="15" x14ac:dyDescent="0.25">
      <c r="A12" s="255" t="s">
        <v>343</v>
      </c>
      <c r="B12" s="256" t="s">
        <v>344</v>
      </c>
      <c r="C12" s="257"/>
      <c r="D12" s="256" t="s">
        <v>345</v>
      </c>
      <c r="E12" s="257"/>
      <c r="F12" s="256" t="s">
        <v>346</v>
      </c>
      <c r="G12" s="257"/>
      <c r="H12" s="256" t="s">
        <v>344</v>
      </c>
      <c r="I12" s="254"/>
    </row>
    <row r="13" spans="1:9" ht="15.75" thickBot="1" x14ac:dyDescent="0.3">
      <c r="A13" s="255" t="s">
        <v>347</v>
      </c>
      <c r="B13" s="256" t="s">
        <v>344</v>
      </c>
      <c r="C13" s="257"/>
      <c r="D13" s="253" t="s">
        <v>345</v>
      </c>
      <c r="E13" s="257"/>
      <c r="F13" s="253" t="s">
        <v>348</v>
      </c>
      <c r="G13" s="257"/>
      <c r="H13" s="253" t="s">
        <v>344</v>
      </c>
      <c r="I13" s="257"/>
    </row>
    <row r="14" spans="1:9" ht="15.75" thickTop="1" x14ac:dyDescent="0.25">
      <c r="B14" s="258" t="s">
        <v>297</v>
      </c>
      <c r="C14" s="259">
        <f>SUM(C4:C11)</f>
        <v>6565</v>
      </c>
      <c r="D14" s="260"/>
      <c r="E14" s="259">
        <v>2310</v>
      </c>
      <c r="F14" s="260"/>
      <c r="G14" s="259">
        <v>77722</v>
      </c>
      <c r="H14" s="260"/>
      <c r="I14" s="259">
        <f>SUM(I4:I11)</f>
        <v>24</v>
      </c>
    </row>
    <row r="15" spans="1:9" ht="15" x14ac:dyDescent="0.25">
      <c r="B15" s="261" t="s">
        <v>349</v>
      </c>
      <c r="C15" s="262">
        <f>SUM(C14/1568)</f>
        <v>4.1868622448979593</v>
      </c>
      <c r="D15" s="263"/>
      <c r="E15" s="262">
        <f>SUM((E14/0.2)/2400)</f>
        <v>4.8125</v>
      </c>
      <c r="F15" s="263"/>
      <c r="G15" s="262">
        <f>SUM(G14/8000)</f>
        <v>9.7152499999999993</v>
      </c>
      <c r="H15" s="263"/>
      <c r="I15" s="264">
        <f>SUM(I14/20)</f>
        <v>1.2</v>
      </c>
    </row>
    <row r="16" spans="1:9" ht="15" x14ac:dyDescent="0.25">
      <c r="A16" s="265" t="s">
        <v>350</v>
      </c>
      <c r="C16" s="266" t="s">
        <v>351</v>
      </c>
      <c r="E16" s="266" t="s">
        <v>352</v>
      </c>
      <c r="G16" s="266" t="s">
        <v>353</v>
      </c>
      <c r="I16" s="267" t="s">
        <v>354</v>
      </c>
    </row>
    <row r="18" spans="1:1" ht="15" x14ac:dyDescent="0.25">
      <c r="A18" s="268" t="s">
        <v>355</v>
      </c>
    </row>
    <row r="19" spans="1:1" ht="15" x14ac:dyDescent="0.25">
      <c r="A19" s="268" t="s">
        <v>356</v>
      </c>
    </row>
    <row r="20" spans="1:1" ht="15" x14ac:dyDescent="0.25">
      <c r="A20" s="268" t="s">
        <v>357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workbookViewId="0"/>
  </sheetViews>
  <sheetFormatPr defaultRowHeight="14.25" x14ac:dyDescent="0.2"/>
  <cols>
    <col min="1" max="1" width="8.25" customWidth="1"/>
    <col min="2" max="2" width="37.875" customWidth="1"/>
    <col min="3" max="3" width="22.125" customWidth="1"/>
    <col min="4" max="4" width="25.75" customWidth="1"/>
    <col min="5" max="5" width="28.125" customWidth="1"/>
    <col min="6" max="8" width="8.25" customWidth="1"/>
    <col min="9" max="9" width="11.375" customWidth="1"/>
    <col min="10" max="1024" width="8.25" customWidth="1"/>
  </cols>
  <sheetData>
    <row r="1" spans="1:7" ht="15" x14ac:dyDescent="0.25">
      <c r="B1" s="268"/>
    </row>
    <row r="2" spans="1:7" ht="15" x14ac:dyDescent="0.25">
      <c r="A2" s="269"/>
      <c r="B2" s="270" t="s">
        <v>358</v>
      </c>
      <c r="C2" s="271"/>
      <c r="D2" s="272"/>
      <c r="E2" s="273"/>
    </row>
    <row r="3" spans="1:7" ht="15" x14ac:dyDescent="0.25">
      <c r="A3" s="269"/>
      <c r="B3" s="274" t="s">
        <v>359</v>
      </c>
      <c r="C3" s="271"/>
      <c r="D3" s="272"/>
      <c r="E3" s="275"/>
    </row>
    <row r="4" spans="1:7" ht="15" x14ac:dyDescent="0.25">
      <c r="A4" s="269"/>
      <c r="B4" s="276" t="s">
        <v>360</v>
      </c>
      <c r="C4" s="277"/>
      <c r="D4" s="278"/>
      <c r="E4" s="279"/>
    </row>
    <row r="5" spans="1:7" ht="15" x14ac:dyDescent="0.2">
      <c r="A5" s="269"/>
      <c r="B5" s="280" t="s">
        <v>361</v>
      </c>
      <c r="C5" s="278"/>
      <c r="D5" s="278"/>
      <c r="E5" s="279"/>
    </row>
    <row r="6" spans="1:7" ht="15" x14ac:dyDescent="0.2">
      <c r="A6" s="269"/>
      <c r="B6" s="281" t="s">
        <v>362</v>
      </c>
      <c r="C6" s="278"/>
      <c r="D6" s="278"/>
      <c r="E6" s="279"/>
    </row>
    <row r="7" spans="1:7" ht="15" x14ac:dyDescent="0.2">
      <c r="A7" s="269"/>
      <c r="B7" s="282" t="s">
        <v>363</v>
      </c>
      <c r="C7" s="283"/>
      <c r="D7" s="283"/>
      <c r="E7" s="284"/>
    </row>
    <row r="8" spans="1:7" ht="15" thickBot="1" x14ac:dyDescent="0.25">
      <c r="A8" s="269"/>
      <c r="B8" s="285"/>
      <c r="C8" s="286"/>
      <c r="D8" s="286"/>
      <c r="E8" s="286"/>
    </row>
    <row r="9" spans="1:7" ht="16.5" thickTop="1" thickBot="1" x14ac:dyDescent="0.3">
      <c r="A9" s="269"/>
      <c r="B9" s="287" t="s">
        <v>364</v>
      </c>
      <c r="C9" s="288" t="str">
        <f>Sheet3!A68</f>
        <v>Błąd:508</v>
      </c>
      <c r="D9" s="286"/>
      <c r="E9" s="286"/>
    </row>
    <row r="10" spans="1:7" ht="16.5" thickTop="1" thickBot="1" x14ac:dyDescent="0.3">
      <c r="B10" s="289" t="s">
        <v>365</v>
      </c>
      <c r="C10" s="290" t="e">
        <f>sheet1 #REF!</f>
        <v>#NAME?</v>
      </c>
      <c r="D10" s="291"/>
      <c r="E10" s="291"/>
    </row>
    <row r="11" spans="1:7" ht="15" thickTop="1" x14ac:dyDescent="0.2">
      <c r="C11" s="245"/>
      <c r="D11" s="291"/>
      <c r="E11" s="291"/>
    </row>
    <row r="12" spans="1:7" s="295" customFormat="1" ht="45" x14ac:dyDescent="0.2">
      <c r="A12" s="292" t="s">
        <v>366</v>
      </c>
      <c r="B12" s="292" t="s">
        <v>367</v>
      </c>
      <c r="C12" s="293" t="s">
        <v>368</v>
      </c>
      <c r="D12" s="294" t="s">
        <v>369</v>
      </c>
      <c r="E12" s="294" t="s">
        <v>370</v>
      </c>
    </row>
    <row r="13" spans="1:7" x14ac:dyDescent="0.2">
      <c r="A13" s="251"/>
      <c r="B13" s="251"/>
      <c r="C13" s="296"/>
      <c r="D13" s="297"/>
      <c r="E13" s="297"/>
    </row>
    <row r="14" spans="1:7" x14ac:dyDescent="0.2">
      <c r="A14" s="298">
        <v>81904</v>
      </c>
      <c r="B14" s="298" t="s">
        <v>273</v>
      </c>
      <c r="C14" s="299" t="e">
        <f>ROUNDUP((((C10/6000)+(216*C9)/6000)+1.2),0)</f>
        <v>#NAME?</v>
      </c>
      <c r="D14" s="300" t="e">
        <f>ROUNDUP(((C9*1560)/6000),0)</f>
        <v>#VALUE!</v>
      </c>
      <c r="E14" s="300" t="e">
        <f>SUM(C14+D14)</f>
        <v>#NAME?</v>
      </c>
      <c r="G14" t="s">
        <v>371</v>
      </c>
    </row>
    <row r="15" spans="1:7" x14ac:dyDescent="0.2">
      <c r="A15" s="204">
        <v>81906</v>
      </c>
      <c r="B15" s="204" t="s">
        <v>274</v>
      </c>
      <c r="C15" s="301" t="e">
        <f>ROUNDUP((((C10/2400)+(144*C9)/2400)+4.8),0)</f>
        <v>#NAME?</v>
      </c>
      <c r="D15" s="297" t="e">
        <f>ROUNDUP(((C9*780)/2400),0)</f>
        <v>#VALUE!</v>
      </c>
      <c r="E15" s="297" t="e">
        <f>SUM(C15+D15)</f>
        <v>#NAME?</v>
      </c>
      <c r="G15" t="s">
        <v>371</v>
      </c>
    </row>
    <row r="16" spans="1:7" x14ac:dyDescent="0.2">
      <c r="A16" s="302" t="s">
        <v>275</v>
      </c>
      <c r="B16" s="302" t="s">
        <v>276</v>
      </c>
      <c r="C16" s="299" t="e">
        <f>ROUNDUP((((C10/600)+(144*C9)/600)+9.7),0)</f>
        <v>#NAME?</v>
      </c>
      <c r="D16" s="300" t="e">
        <f>ROUNDUP(((C9*780)/1000),0)</f>
        <v>#VALUE!</v>
      </c>
      <c r="E16" s="300" t="e">
        <f>SUM(C16+D16)</f>
        <v>#NAME?</v>
      </c>
      <c r="G16" t="s">
        <v>371</v>
      </c>
    </row>
    <row r="17" spans="1:7" x14ac:dyDescent="0.2">
      <c r="A17" s="204">
        <v>81901</v>
      </c>
      <c r="B17" s="204" t="s">
        <v>279</v>
      </c>
      <c r="C17" s="301" t="e">
        <f>ROUNDUP((((C10*2/1568)+(216*C9)/1568)+4.2),0)</f>
        <v>#NAME?</v>
      </c>
      <c r="D17" s="297" t="e">
        <f>ROUNDUP(((C9*1560)/10080),0)</f>
        <v>#VALUE!</v>
      </c>
      <c r="E17" s="297" t="e">
        <f>SUM(C17+D17)</f>
        <v>#NAME?</v>
      </c>
      <c r="G17" t="s">
        <v>371</v>
      </c>
    </row>
    <row r="18" spans="1:7" x14ac:dyDescent="0.2">
      <c r="A18" s="303">
        <v>81902</v>
      </c>
      <c r="B18" s="304" t="s">
        <v>280</v>
      </c>
      <c r="C18" s="305" t="e">
        <f>ROUNDUP(((72*C9/1000)+1.8),0)</f>
        <v>#VALUE!</v>
      </c>
      <c r="D18" s="306">
        <v>2</v>
      </c>
      <c r="E18" s="300" t="e">
        <f>SUM(C18+D18)</f>
        <v>#VALUE!</v>
      </c>
      <c r="G18" t="s">
        <v>371</v>
      </c>
    </row>
    <row r="19" spans="1:7" x14ac:dyDescent="0.2">
      <c r="A19" s="204"/>
      <c r="B19" s="307"/>
      <c r="C19" s="301"/>
      <c r="D19" s="297"/>
      <c r="E19" s="297"/>
    </row>
    <row r="20" spans="1:7" x14ac:dyDescent="0.2">
      <c r="A20" s="302">
        <v>81911</v>
      </c>
      <c r="B20" s="308" t="s">
        <v>282</v>
      </c>
      <c r="C20" s="299">
        <v>1</v>
      </c>
      <c r="D20" s="300"/>
      <c r="E20" s="300">
        <v>1</v>
      </c>
      <c r="G20" t="s">
        <v>371</v>
      </c>
    </row>
    <row r="21" spans="1:7" x14ac:dyDescent="0.2">
      <c r="A21" s="204">
        <v>81912</v>
      </c>
      <c r="B21" s="307" t="s">
        <v>283</v>
      </c>
      <c r="C21" s="301">
        <v>1</v>
      </c>
      <c r="D21" s="297"/>
      <c r="E21" s="297">
        <v>1</v>
      </c>
      <c r="G21" t="s">
        <v>371</v>
      </c>
    </row>
    <row r="22" spans="1:7" x14ac:dyDescent="0.2">
      <c r="A22" s="308"/>
      <c r="B22" s="308"/>
      <c r="C22" s="299"/>
      <c r="D22" s="300"/>
      <c r="E22" s="300"/>
    </row>
    <row r="23" spans="1:7" x14ac:dyDescent="0.2">
      <c r="A23" s="309">
        <v>81910</v>
      </c>
      <c r="B23" s="307" t="s">
        <v>278</v>
      </c>
      <c r="C23" s="301">
        <v>4</v>
      </c>
      <c r="D23" s="297"/>
      <c r="E23" s="297">
        <v>4</v>
      </c>
      <c r="G23" t="s">
        <v>371</v>
      </c>
    </row>
    <row r="24" spans="1:7" x14ac:dyDescent="0.2">
      <c r="C24" s="310"/>
    </row>
    <row r="25" spans="1:7" ht="15" x14ac:dyDescent="0.25">
      <c r="B25" s="311"/>
      <c r="C25" s="312"/>
    </row>
    <row r="26" spans="1:7" ht="15" x14ac:dyDescent="0.25">
      <c r="B26" s="311"/>
    </row>
    <row r="27" spans="1:7" ht="15" x14ac:dyDescent="0.25">
      <c r="B27" s="311"/>
    </row>
    <row r="28" spans="1:7" ht="15" x14ac:dyDescent="0.25">
      <c r="B28" s="311"/>
    </row>
    <row r="29" spans="1:7" ht="15" x14ac:dyDescent="0.25">
      <c r="B29" s="311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C8"/>
  <sheetViews>
    <sheetView workbookViewId="0"/>
  </sheetViews>
  <sheetFormatPr defaultRowHeight="14.25" x14ac:dyDescent="0.2"/>
  <cols>
    <col min="1" max="2" width="8.125" customWidth="1"/>
    <col min="3" max="3" width="18.875" customWidth="1"/>
    <col min="4" max="1024" width="8.125" customWidth="1"/>
  </cols>
  <sheetData>
    <row r="4" spans="3:3" x14ac:dyDescent="0.2">
      <c r="C4" s="313" t="s">
        <v>372</v>
      </c>
    </row>
    <row r="5" spans="3:3" x14ac:dyDescent="0.2">
      <c r="C5" s="313" t="s">
        <v>373</v>
      </c>
    </row>
    <row r="7" spans="3:3" ht="15" x14ac:dyDescent="0.25">
      <c r="C7" s="268" t="s">
        <v>374</v>
      </c>
    </row>
    <row r="8" spans="3:3" ht="15" x14ac:dyDescent="0.25">
      <c r="C8" s="268" t="s">
        <v>375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MJ25"/>
  <sheetViews>
    <sheetView workbookViewId="0"/>
  </sheetViews>
  <sheetFormatPr defaultRowHeight="14.25" x14ac:dyDescent="0.2"/>
  <cols>
    <col min="1" max="1" width="8.5" style="314" customWidth="1"/>
    <col min="2" max="2" width="13.25" style="314" customWidth="1"/>
    <col min="3" max="3" width="16.75" style="314" customWidth="1"/>
    <col min="4" max="4" width="11.375" style="314" customWidth="1"/>
    <col min="5" max="6" width="8.5" style="314" customWidth="1"/>
    <col min="7" max="7" width="9.875" style="314" customWidth="1"/>
    <col min="8" max="8" width="12.5" style="314" customWidth="1"/>
    <col min="9" max="9" width="8.5" style="314" customWidth="1"/>
    <col min="10" max="10" width="9.5" style="314" customWidth="1"/>
    <col min="11" max="1024" width="8.5" style="314" customWidth="1"/>
  </cols>
  <sheetData>
    <row r="2" spans="2:10" x14ac:dyDescent="0.2">
      <c r="B2" s="430"/>
      <c r="C2" s="430"/>
      <c r="D2" s="430"/>
      <c r="E2" s="430"/>
      <c r="F2" s="430"/>
      <c r="G2" s="430"/>
      <c r="H2" s="430"/>
      <c r="I2" s="430"/>
    </row>
    <row r="3" spans="2:10" ht="57" x14ac:dyDescent="0.2">
      <c r="C3" s="315" t="s">
        <v>376</v>
      </c>
      <c r="D3" s="315" t="s">
        <v>377</v>
      </c>
      <c r="E3" s="315" t="s">
        <v>378</v>
      </c>
      <c r="G3" s="315" t="s">
        <v>379</v>
      </c>
      <c r="H3" s="315" t="s">
        <v>4</v>
      </c>
      <c r="I3" s="315" t="s">
        <v>380</v>
      </c>
      <c r="J3" s="315" t="s">
        <v>381</v>
      </c>
    </row>
    <row r="4" spans="2:10" x14ac:dyDescent="0.2">
      <c r="G4" s="314">
        <v>365</v>
      </c>
      <c r="I4" s="314">
        <v>1000</v>
      </c>
    </row>
    <row r="6" spans="2:10" x14ac:dyDescent="0.2">
      <c r="B6" s="314" t="s">
        <v>382</v>
      </c>
      <c r="C6" s="314">
        <v>31</v>
      </c>
      <c r="D6" s="314">
        <v>14</v>
      </c>
      <c r="E6" s="314">
        <v>20</v>
      </c>
      <c r="G6" s="316">
        <f t="shared" ref="G6:G12" si="0">$G$4/C6*D6</f>
        <v>164.83870967741933</v>
      </c>
      <c r="H6" s="314" t="s">
        <v>383</v>
      </c>
      <c r="I6" s="317">
        <f t="shared" ref="I6:I12" si="1">G6*E6/$I$4</f>
        <v>3.2967741935483863</v>
      </c>
      <c r="J6" s="318">
        <f>I6/2</f>
        <v>1.6483870967741932</v>
      </c>
    </row>
    <row r="7" spans="2:10" x14ac:dyDescent="0.2">
      <c r="B7" s="314" t="s">
        <v>384</v>
      </c>
      <c r="C7" s="319">
        <v>28</v>
      </c>
      <c r="D7" s="319">
        <v>12</v>
      </c>
      <c r="E7" s="319">
        <v>25</v>
      </c>
      <c r="G7" s="316">
        <f t="shared" si="0"/>
        <v>156.42857142857144</v>
      </c>
      <c r="H7" s="319" t="s">
        <v>385</v>
      </c>
      <c r="I7" s="317">
        <f t="shared" si="1"/>
        <v>3.910714285714286</v>
      </c>
      <c r="J7" s="320">
        <f>I7/4</f>
        <v>0.97767857142857151</v>
      </c>
    </row>
    <row r="8" spans="2:10" ht="57" x14ac:dyDescent="0.2">
      <c r="B8" s="314" t="s">
        <v>386</v>
      </c>
      <c r="C8" s="314">
        <v>28</v>
      </c>
      <c r="D8" s="314">
        <v>14</v>
      </c>
      <c r="E8" s="314">
        <v>10</v>
      </c>
      <c r="G8" s="316">
        <f t="shared" si="0"/>
        <v>182.5</v>
      </c>
      <c r="H8" s="321" t="s">
        <v>387</v>
      </c>
      <c r="I8" s="317">
        <f t="shared" si="1"/>
        <v>1.825</v>
      </c>
      <c r="J8" s="320">
        <f>I8/4</f>
        <v>0.45624999999999999</v>
      </c>
    </row>
    <row r="9" spans="2:10" ht="42.75" x14ac:dyDescent="0.2">
      <c r="B9" s="314" t="s">
        <v>388</v>
      </c>
      <c r="C9" s="314">
        <v>28</v>
      </c>
      <c r="D9" s="314">
        <v>12</v>
      </c>
      <c r="E9" s="314">
        <v>85</v>
      </c>
      <c r="G9" s="316">
        <f t="shared" si="0"/>
        <v>156.42857142857144</v>
      </c>
      <c r="H9" s="315" t="s">
        <v>389</v>
      </c>
      <c r="I9" s="317">
        <f t="shared" si="1"/>
        <v>13.296428571428573</v>
      </c>
      <c r="J9" s="320">
        <f>I9/2.5</f>
        <v>5.3185714285714294</v>
      </c>
    </row>
    <row r="10" spans="2:10" x14ac:dyDescent="0.2">
      <c r="G10" s="316" t="e">
        <f t="shared" si="0"/>
        <v>#DIV/0!</v>
      </c>
      <c r="I10" s="317" t="e">
        <f t="shared" si="1"/>
        <v>#DIV/0!</v>
      </c>
      <c r="J10" s="322" t="e">
        <f>I10/4</f>
        <v>#DIV/0!</v>
      </c>
    </row>
    <row r="11" spans="2:10" x14ac:dyDescent="0.2">
      <c r="G11" s="316" t="e">
        <f t="shared" si="0"/>
        <v>#DIV/0!</v>
      </c>
      <c r="I11" s="317" t="e">
        <f t="shared" si="1"/>
        <v>#DIV/0!</v>
      </c>
      <c r="J11" s="322" t="e">
        <f>I11/4</f>
        <v>#DIV/0!</v>
      </c>
    </row>
    <row r="12" spans="2:10" x14ac:dyDescent="0.2">
      <c r="G12" s="316" t="e">
        <f t="shared" si="0"/>
        <v>#DIV/0!</v>
      </c>
      <c r="I12" s="317" t="e">
        <f t="shared" si="1"/>
        <v>#DIV/0!</v>
      </c>
      <c r="J12" s="322" t="e">
        <f>I12/4</f>
        <v>#DIV/0!</v>
      </c>
    </row>
    <row r="13" spans="2:10" x14ac:dyDescent="0.2">
      <c r="G13" s="316"/>
      <c r="I13" s="317"/>
      <c r="J13" s="322"/>
    </row>
    <row r="14" spans="2:10" x14ac:dyDescent="0.2">
      <c r="G14" s="314">
        <v>365</v>
      </c>
      <c r="I14" s="317"/>
      <c r="J14" s="322"/>
    </row>
    <row r="15" spans="2:10" x14ac:dyDescent="0.2">
      <c r="G15" s="316"/>
      <c r="I15" s="317"/>
      <c r="J15" s="322"/>
    </row>
    <row r="16" spans="2:10" ht="57" x14ac:dyDescent="0.2">
      <c r="C16" s="315" t="s">
        <v>376</v>
      </c>
      <c r="D16" s="315" t="s">
        <v>390</v>
      </c>
      <c r="G16" s="315" t="s">
        <v>381</v>
      </c>
    </row>
    <row r="17" spans="2:10" x14ac:dyDescent="0.2">
      <c r="B17" s="314" t="s">
        <v>382</v>
      </c>
      <c r="C17" s="319">
        <v>31</v>
      </c>
      <c r="D17" s="319">
        <v>90</v>
      </c>
      <c r="E17" s="314">
        <f>ROUNDUP((D17/C17),0)</f>
        <v>3</v>
      </c>
      <c r="F17" s="314">
        <f>E17*C17</f>
        <v>93</v>
      </c>
      <c r="G17" s="322">
        <f>G14/F17</f>
        <v>3.924731182795699</v>
      </c>
    </row>
    <row r="18" spans="2:10" x14ac:dyDescent="0.2">
      <c r="B18" s="314" t="s">
        <v>384</v>
      </c>
      <c r="C18" s="314">
        <v>28</v>
      </c>
      <c r="D18" s="314" t="s">
        <v>391</v>
      </c>
      <c r="G18" s="314">
        <v>1</v>
      </c>
    </row>
    <row r="19" spans="2:10" x14ac:dyDescent="0.2">
      <c r="B19" s="314" t="s">
        <v>386</v>
      </c>
      <c r="C19" s="314">
        <v>28</v>
      </c>
      <c r="D19" s="314" t="s">
        <v>391</v>
      </c>
      <c r="G19" s="314">
        <v>1</v>
      </c>
    </row>
    <row r="20" spans="2:10" x14ac:dyDescent="0.2">
      <c r="B20" s="314" t="s">
        <v>388</v>
      </c>
      <c r="C20" s="314">
        <v>28</v>
      </c>
      <c r="D20" s="314">
        <v>90</v>
      </c>
      <c r="E20" s="314">
        <f>ROUNDUP((D20/C20),0)</f>
        <v>4</v>
      </c>
      <c r="F20" s="314">
        <f>E20*C20</f>
        <v>112</v>
      </c>
      <c r="G20" s="322">
        <f>$G$14/F20</f>
        <v>3.2589285714285716</v>
      </c>
    </row>
    <row r="21" spans="2:10" x14ac:dyDescent="0.2">
      <c r="G21" s="322"/>
    </row>
    <row r="22" spans="2:10" x14ac:dyDescent="0.2">
      <c r="B22" s="314" t="s">
        <v>392</v>
      </c>
      <c r="C22" s="314">
        <v>28</v>
      </c>
      <c r="D22" s="314">
        <v>90</v>
      </c>
      <c r="E22" s="314">
        <f>ROUNDUP((D22/C22),0)</f>
        <v>4</v>
      </c>
      <c r="F22" s="314">
        <f>E22*C22</f>
        <v>112</v>
      </c>
      <c r="G22" s="322">
        <f>$G$14/F22</f>
        <v>3.2589285714285716</v>
      </c>
    </row>
    <row r="23" spans="2:10" x14ac:dyDescent="0.2">
      <c r="B23" s="314" t="s">
        <v>393</v>
      </c>
      <c r="C23" s="314">
        <v>14</v>
      </c>
      <c r="D23" s="314">
        <v>56</v>
      </c>
      <c r="E23" s="314">
        <f>ROUNDUP((D23/C23),0)</f>
        <v>4</v>
      </c>
      <c r="F23" s="314">
        <f>E23*C23</f>
        <v>56</v>
      </c>
      <c r="G23" s="322">
        <f>$G$14/F23</f>
        <v>6.5178571428571432</v>
      </c>
    </row>
    <row r="25" spans="2:10" x14ac:dyDescent="0.2">
      <c r="B25" s="314" t="s">
        <v>393</v>
      </c>
      <c r="C25" s="314">
        <v>14</v>
      </c>
      <c r="D25" s="314">
        <v>56</v>
      </c>
      <c r="E25" s="322">
        <f>D25/C25</f>
        <v>4</v>
      </c>
      <c r="I25" s="314">
        <f>E25*C25</f>
        <v>56</v>
      </c>
      <c r="J25" s="322">
        <f>$G$14/I25</f>
        <v>6.5178571428571432</v>
      </c>
    </row>
  </sheetData>
  <mergeCells count="1">
    <mergeCell ref="B2:I2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76"/>
  <sheetViews>
    <sheetView workbookViewId="0"/>
  </sheetViews>
  <sheetFormatPr defaultRowHeight="14.25" x14ac:dyDescent="0.2"/>
  <cols>
    <col min="1" max="1" width="8.625" style="324" customWidth="1"/>
    <col min="2" max="2" width="38.375" style="324" customWidth="1"/>
    <col min="3" max="4" width="8.625" style="324" customWidth="1"/>
    <col min="5" max="5" width="10.75" style="324" customWidth="1"/>
    <col min="6" max="6" width="8.625" style="324" customWidth="1"/>
    <col min="7" max="7" width="10.75" style="324" customWidth="1"/>
    <col min="8" max="9" width="15.625" style="324" customWidth="1"/>
    <col min="10" max="10" width="14.375" style="324" customWidth="1"/>
    <col min="11" max="11" width="20.625" style="324" customWidth="1"/>
    <col min="12" max="12" width="3.5" style="324" customWidth="1"/>
    <col min="13" max="13" width="37.75" style="324" customWidth="1"/>
    <col min="14" max="14" width="7" style="324" customWidth="1"/>
    <col min="15" max="15" width="8.5" style="1" customWidth="1"/>
    <col min="16" max="16" width="2.75" style="324" customWidth="1"/>
    <col min="17" max="17" width="6.25" style="1" customWidth="1"/>
    <col min="18" max="18" width="6.25" style="324" customWidth="1"/>
    <col min="19" max="19" width="7" style="324" customWidth="1"/>
    <col min="20" max="20" width="8.5" style="324" customWidth="1"/>
    <col min="21" max="22" width="9.5" style="324" customWidth="1"/>
    <col min="23" max="24" width="8.5" style="324" customWidth="1"/>
    <col min="25" max="25" width="9.875" style="324" customWidth="1"/>
    <col min="26" max="1024" width="8.5" style="324" customWidth="1"/>
  </cols>
  <sheetData>
    <row r="1" spans="1:23" ht="14.25" customHeight="1" x14ac:dyDescent="0.2">
      <c r="A1" s="432" t="s">
        <v>394</v>
      </c>
      <c r="B1" s="432"/>
      <c r="C1" s="432"/>
      <c r="D1" s="432"/>
      <c r="E1" s="432"/>
      <c r="F1" s="432"/>
      <c r="G1" s="432"/>
      <c r="H1" s="432"/>
      <c r="I1" s="432"/>
      <c r="J1" s="323"/>
      <c r="K1" s="323"/>
    </row>
    <row r="2" spans="1:23" ht="12.75" customHeight="1" x14ac:dyDescent="0.2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T2" s="434" t="s">
        <v>395</v>
      </c>
      <c r="U2" s="434"/>
      <c r="W2" s="1" t="s">
        <v>396</v>
      </c>
    </row>
    <row r="3" spans="1:23" ht="35.25" customHeight="1" x14ac:dyDescent="0.2">
      <c r="A3" s="325" t="s">
        <v>0</v>
      </c>
      <c r="B3" s="325" t="s">
        <v>1</v>
      </c>
      <c r="C3" s="325" t="s">
        <v>397</v>
      </c>
      <c r="D3" s="325" t="s">
        <v>398</v>
      </c>
      <c r="E3" s="325" t="s">
        <v>5</v>
      </c>
      <c r="F3" s="325" t="s">
        <v>6</v>
      </c>
      <c r="G3" s="325" t="s">
        <v>7</v>
      </c>
      <c r="H3" s="325" t="s">
        <v>8</v>
      </c>
      <c r="I3" s="325" t="s">
        <v>9</v>
      </c>
      <c r="J3" s="435" t="s">
        <v>10</v>
      </c>
      <c r="K3" s="435"/>
      <c r="M3" s="324" t="s">
        <v>399</v>
      </c>
      <c r="S3" s="326" t="s">
        <v>400</v>
      </c>
      <c r="T3" s="326" t="s">
        <v>401</v>
      </c>
      <c r="U3" s="326" t="s">
        <v>402</v>
      </c>
      <c r="V3" s="326"/>
      <c r="W3" s="1" t="s">
        <v>375</v>
      </c>
    </row>
    <row r="4" spans="1:23" x14ac:dyDescent="0.2">
      <c r="A4" s="327">
        <v>1</v>
      </c>
      <c r="B4" s="328" t="s">
        <v>403</v>
      </c>
      <c r="C4" s="327">
        <v>19500</v>
      </c>
      <c r="D4" s="327"/>
      <c r="E4" s="329">
        <v>300</v>
      </c>
      <c r="F4" s="330">
        <v>0.08</v>
      </c>
      <c r="G4" s="331">
        <f t="shared" ref="G4:G25" si="0">E4*F4+E4</f>
        <v>324</v>
      </c>
      <c r="H4" s="331">
        <f t="shared" ref="H4:H25" si="1">E4*D4</f>
        <v>0</v>
      </c>
      <c r="I4" s="331">
        <f t="shared" ref="I4:I25" si="2">G4*D4</f>
        <v>0</v>
      </c>
      <c r="J4" s="332" t="s">
        <v>404</v>
      </c>
      <c r="K4" s="333" t="s">
        <v>125</v>
      </c>
      <c r="L4" s="334"/>
      <c r="M4" s="335" t="s">
        <v>405</v>
      </c>
    </row>
    <row r="5" spans="1:23" x14ac:dyDescent="0.2">
      <c r="A5" s="327">
        <f t="shared" ref="A5:A27" si="3">A4+1</f>
        <v>2</v>
      </c>
      <c r="B5" s="328" t="s">
        <v>14</v>
      </c>
      <c r="C5" s="327">
        <v>500</v>
      </c>
      <c r="D5" s="336"/>
      <c r="E5" s="337">
        <v>300</v>
      </c>
      <c r="F5" s="338">
        <v>0.08</v>
      </c>
      <c r="G5" s="339">
        <f t="shared" si="0"/>
        <v>324</v>
      </c>
      <c r="H5" s="339">
        <f t="shared" si="1"/>
        <v>0</v>
      </c>
      <c r="I5" s="339">
        <f t="shared" si="2"/>
        <v>0</v>
      </c>
      <c r="J5" s="332" t="s">
        <v>404</v>
      </c>
      <c r="K5" s="340" t="s">
        <v>55</v>
      </c>
      <c r="L5" s="334"/>
      <c r="M5" s="335" t="s">
        <v>406</v>
      </c>
    </row>
    <row r="6" spans="1:23" x14ac:dyDescent="0.2">
      <c r="A6" s="327">
        <f t="shared" si="3"/>
        <v>3</v>
      </c>
      <c r="B6" s="328" t="s">
        <v>15</v>
      </c>
      <c r="C6" s="327">
        <v>1000</v>
      </c>
      <c r="D6" s="336"/>
      <c r="E6" s="337">
        <v>300</v>
      </c>
      <c r="F6" s="338">
        <v>0.08</v>
      </c>
      <c r="G6" s="339">
        <f t="shared" si="0"/>
        <v>324</v>
      </c>
      <c r="H6" s="339">
        <f t="shared" si="1"/>
        <v>0</v>
      </c>
      <c r="I6" s="339">
        <f t="shared" si="2"/>
        <v>0</v>
      </c>
      <c r="J6" s="332" t="s">
        <v>404</v>
      </c>
      <c r="K6" s="340" t="s">
        <v>57</v>
      </c>
      <c r="L6" s="334"/>
      <c r="M6" s="335" t="s">
        <v>406</v>
      </c>
    </row>
    <row r="7" spans="1:23" ht="12.75" customHeight="1" x14ac:dyDescent="0.2">
      <c r="A7" s="327">
        <f t="shared" si="3"/>
        <v>4</v>
      </c>
      <c r="B7" s="328" t="s">
        <v>407</v>
      </c>
      <c r="C7" s="327">
        <v>110</v>
      </c>
      <c r="D7" s="336"/>
      <c r="E7" s="337">
        <v>3840</v>
      </c>
      <c r="F7" s="338">
        <v>0.08</v>
      </c>
      <c r="G7" s="339">
        <f t="shared" si="0"/>
        <v>4147.2</v>
      </c>
      <c r="H7" s="339">
        <f t="shared" si="1"/>
        <v>0</v>
      </c>
      <c r="I7" s="339">
        <f t="shared" si="2"/>
        <v>0</v>
      </c>
      <c r="J7" s="341" t="s">
        <v>408</v>
      </c>
      <c r="K7" s="342">
        <v>98200</v>
      </c>
      <c r="L7" s="334"/>
      <c r="M7" s="343" t="s">
        <v>409</v>
      </c>
      <c r="N7" s="344" t="s">
        <v>410</v>
      </c>
    </row>
    <row r="8" spans="1:23" x14ac:dyDescent="0.2">
      <c r="A8" s="327">
        <f t="shared" si="3"/>
        <v>5</v>
      </c>
      <c r="B8" s="328" t="s">
        <v>411</v>
      </c>
      <c r="C8" s="327">
        <v>650</v>
      </c>
      <c r="D8" s="336"/>
      <c r="E8" s="337">
        <v>400</v>
      </c>
      <c r="F8" s="338">
        <v>0.08</v>
      </c>
      <c r="G8" s="339">
        <f t="shared" si="0"/>
        <v>432</v>
      </c>
      <c r="H8" s="339">
        <f t="shared" si="1"/>
        <v>0</v>
      </c>
      <c r="I8" s="339">
        <f t="shared" si="2"/>
        <v>0</v>
      </c>
      <c r="J8" s="332" t="s">
        <v>404</v>
      </c>
      <c r="K8" s="340">
        <v>37210</v>
      </c>
      <c r="L8" s="334"/>
      <c r="M8" s="345" t="s">
        <v>412</v>
      </c>
      <c r="O8" s="1">
        <f>2*365</f>
        <v>730</v>
      </c>
      <c r="Q8" s="1">
        <v>25</v>
      </c>
    </row>
    <row r="9" spans="1:23" x14ac:dyDescent="0.2">
      <c r="A9" s="327">
        <f t="shared" si="3"/>
        <v>6</v>
      </c>
      <c r="B9" s="328" t="s">
        <v>413</v>
      </c>
      <c r="C9" s="327">
        <v>5600</v>
      </c>
      <c r="D9" s="336"/>
      <c r="E9" s="337">
        <v>230</v>
      </c>
      <c r="F9" s="338">
        <v>0.08</v>
      </c>
      <c r="G9" s="339">
        <f t="shared" si="0"/>
        <v>248.4</v>
      </c>
      <c r="H9" s="339">
        <f t="shared" si="1"/>
        <v>0</v>
      </c>
      <c r="I9" s="339">
        <f t="shared" si="2"/>
        <v>0</v>
      </c>
      <c r="J9" s="332" t="s">
        <v>404</v>
      </c>
      <c r="K9" s="340" t="s">
        <v>52</v>
      </c>
      <c r="L9" s="334"/>
      <c r="M9" s="345" t="s">
        <v>412</v>
      </c>
      <c r="O9" s="1">
        <f>2*365</f>
        <v>730</v>
      </c>
      <c r="Q9" s="1">
        <v>55</v>
      </c>
    </row>
    <row r="10" spans="1:23" x14ac:dyDescent="0.2">
      <c r="A10" s="327">
        <f t="shared" si="3"/>
        <v>7</v>
      </c>
      <c r="B10" s="328" t="s">
        <v>414</v>
      </c>
      <c r="C10" s="327">
        <v>6672</v>
      </c>
      <c r="D10" s="336"/>
      <c r="E10" s="337">
        <v>230</v>
      </c>
      <c r="F10" s="338">
        <v>0.08</v>
      </c>
      <c r="G10" s="339">
        <f t="shared" si="0"/>
        <v>248.4</v>
      </c>
      <c r="H10" s="339">
        <f t="shared" si="1"/>
        <v>0</v>
      </c>
      <c r="I10" s="339">
        <f t="shared" si="2"/>
        <v>0</v>
      </c>
      <c r="J10" s="332" t="s">
        <v>404</v>
      </c>
      <c r="K10" s="340">
        <v>33880</v>
      </c>
      <c r="L10" s="334"/>
      <c r="M10" s="345" t="s">
        <v>412</v>
      </c>
      <c r="O10" s="1">
        <f>2*365</f>
        <v>730</v>
      </c>
      <c r="Q10" s="1">
        <v>30</v>
      </c>
    </row>
    <row r="11" spans="1:23" x14ac:dyDescent="0.2">
      <c r="A11" s="327">
        <f t="shared" si="3"/>
        <v>8</v>
      </c>
      <c r="B11" s="328" t="s">
        <v>415</v>
      </c>
      <c r="C11" s="327">
        <v>1080</v>
      </c>
      <c r="D11" s="336"/>
      <c r="E11" s="346">
        <v>300</v>
      </c>
      <c r="F11" s="338">
        <v>0.08</v>
      </c>
      <c r="G11" s="339">
        <f t="shared" si="0"/>
        <v>324</v>
      </c>
      <c r="H11" s="339">
        <f t="shared" si="1"/>
        <v>0</v>
      </c>
      <c r="I11" s="339">
        <f t="shared" si="2"/>
        <v>0</v>
      </c>
      <c r="J11" s="332" t="s">
        <v>404</v>
      </c>
      <c r="K11" s="340">
        <v>33600</v>
      </c>
      <c r="L11" s="334"/>
      <c r="M11" s="345" t="s">
        <v>412</v>
      </c>
      <c r="O11" s="1">
        <f>2*365</f>
        <v>730</v>
      </c>
      <c r="Q11" s="1">
        <v>25</v>
      </c>
    </row>
    <row r="12" spans="1:23" x14ac:dyDescent="0.2">
      <c r="A12" s="327">
        <f t="shared" si="3"/>
        <v>9</v>
      </c>
      <c r="B12" s="347" t="s">
        <v>416</v>
      </c>
      <c r="C12" s="336">
        <v>7740</v>
      </c>
      <c r="D12" s="348"/>
      <c r="E12" s="346">
        <v>600</v>
      </c>
      <c r="F12" s="338">
        <v>0.08</v>
      </c>
      <c r="G12" s="339">
        <f t="shared" si="0"/>
        <v>648</v>
      </c>
      <c r="H12" s="339">
        <f t="shared" si="1"/>
        <v>0</v>
      </c>
      <c r="I12" s="339">
        <f t="shared" si="2"/>
        <v>0</v>
      </c>
      <c r="J12" s="332" t="s">
        <v>404</v>
      </c>
      <c r="K12" s="342">
        <v>34330</v>
      </c>
      <c r="L12" s="334"/>
      <c r="M12" s="349" t="s">
        <v>417</v>
      </c>
    </row>
    <row r="13" spans="1:23" x14ac:dyDescent="0.2">
      <c r="A13" s="327">
        <f t="shared" si="3"/>
        <v>10</v>
      </c>
      <c r="B13" s="347" t="s">
        <v>418</v>
      </c>
      <c r="C13" s="336">
        <v>9684</v>
      </c>
      <c r="D13" s="348"/>
      <c r="E13" s="346">
        <v>280</v>
      </c>
      <c r="F13" s="338">
        <v>0.08</v>
      </c>
      <c r="G13" s="339">
        <f t="shared" si="0"/>
        <v>302.39999999999998</v>
      </c>
      <c r="H13" s="339">
        <f t="shared" si="1"/>
        <v>0</v>
      </c>
      <c r="I13" s="339">
        <f t="shared" si="2"/>
        <v>0</v>
      </c>
      <c r="J13" s="332" t="s">
        <v>404</v>
      </c>
      <c r="K13" s="340">
        <v>37200</v>
      </c>
      <c r="L13" s="334"/>
      <c r="M13" s="345" t="s">
        <v>412</v>
      </c>
      <c r="O13" s="1">
        <f t="shared" ref="O13:O22" si="4">2*365</f>
        <v>730</v>
      </c>
      <c r="Q13" s="1">
        <v>25</v>
      </c>
    </row>
    <row r="14" spans="1:23" x14ac:dyDescent="0.2">
      <c r="A14" s="327">
        <f t="shared" si="3"/>
        <v>11</v>
      </c>
      <c r="B14" s="347" t="s">
        <v>419</v>
      </c>
      <c r="C14" s="336">
        <v>21616</v>
      </c>
      <c r="D14" s="348"/>
      <c r="E14" s="346">
        <v>200</v>
      </c>
      <c r="F14" s="338">
        <v>0.08</v>
      </c>
      <c r="G14" s="339">
        <f t="shared" si="0"/>
        <v>216</v>
      </c>
      <c r="H14" s="339">
        <f t="shared" si="1"/>
        <v>0</v>
      </c>
      <c r="I14" s="339">
        <f t="shared" si="2"/>
        <v>0</v>
      </c>
      <c r="J14" s="332" t="s">
        <v>404</v>
      </c>
      <c r="K14" s="340" t="s">
        <v>420</v>
      </c>
      <c r="L14" s="334"/>
      <c r="M14" s="345" t="s">
        <v>412</v>
      </c>
      <c r="O14" s="1">
        <f t="shared" si="4"/>
        <v>730</v>
      </c>
      <c r="Q14" s="1">
        <v>55</v>
      </c>
    </row>
    <row r="15" spans="1:23" x14ac:dyDescent="0.2">
      <c r="A15" s="327">
        <f t="shared" si="3"/>
        <v>12</v>
      </c>
      <c r="B15" s="347" t="s">
        <v>421</v>
      </c>
      <c r="C15" s="336">
        <v>130</v>
      </c>
      <c r="D15" s="348"/>
      <c r="E15" s="346">
        <v>300</v>
      </c>
      <c r="F15" s="338">
        <v>0.08</v>
      </c>
      <c r="G15" s="339">
        <f t="shared" si="0"/>
        <v>324</v>
      </c>
      <c r="H15" s="339">
        <f t="shared" si="1"/>
        <v>0</v>
      </c>
      <c r="I15" s="339">
        <f t="shared" si="2"/>
        <v>0</v>
      </c>
      <c r="J15" s="332" t="s">
        <v>404</v>
      </c>
      <c r="K15" s="340">
        <v>33830</v>
      </c>
      <c r="L15" s="334"/>
      <c r="M15" s="345" t="s">
        <v>412</v>
      </c>
      <c r="O15" s="1">
        <f t="shared" si="4"/>
        <v>730</v>
      </c>
      <c r="Q15" s="1">
        <v>55</v>
      </c>
      <c r="R15" s="1" t="s">
        <v>422</v>
      </c>
      <c r="S15" s="350">
        <f>C15/3</f>
        <v>43.333333333333336</v>
      </c>
      <c r="T15" s="351">
        <f>28*2</f>
        <v>56</v>
      </c>
      <c r="U15" s="352">
        <f>365/56</f>
        <v>6.5178571428571432</v>
      </c>
      <c r="V15" s="352"/>
      <c r="W15" s="1">
        <v>14</v>
      </c>
    </row>
    <row r="16" spans="1:23" x14ac:dyDescent="0.2">
      <c r="A16" s="327">
        <f t="shared" si="3"/>
        <v>13</v>
      </c>
      <c r="B16" s="347" t="s">
        <v>423</v>
      </c>
      <c r="C16" s="336">
        <v>150</v>
      </c>
      <c r="D16" s="348"/>
      <c r="E16" s="346">
        <v>300</v>
      </c>
      <c r="F16" s="338">
        <v>0.08</v>
      </c>
      <c r="G16" s="339">
        <f t="shared" si="0"/>
        <v>324</v>
      </c>
      <c r="H16" s="339">
        <f t="shared" si="1"/>
        <v>0</v>
      </c>
      <c r="I16" s="339">
        <f t="shared" si="2"/>
        <v>0</v>
      </c>
      <c r="J16" s="332" t="s">
        <v>404</v>
      </c>
      <c r="K16" s="342">
        <v>33800</v>
      </c>
      <c r="L16" s="334"/>
      <c r="M16" s="345" t="s">
        <v>412</v>
      </c>
      <c r="O16" s="1">
        <f t="shared" si="4"/>
        <v>730</v>
      </c>
      <c r="Q16" s="1">
        <v>30</v>
      </c>
    </row>
    <row r="17" spans="1:35" x14ac:dyDescent="0.2">
      <c r="A17" s="327">
        <f t="shared" si="3"/>
        <v>14</v>
      </c>
      <c r="B17" s="347" t="s">
        <v>424</v>
      </c>
      <c r="C17" s="348">
        <v>180</v>
      </c>
      <c r="D17" s="336"/>
      <c r="E17" s="346">
        <v>220</v>
      </c>
      <c r="F17" s="338">
        <v>0.08</v>
      </c>
      <c r="G17" s="339">
        <f t="shared" si="0"/>
        <v>237.6</v>
      </c>
      <c r="H17" s="339">
        <f t="shared" si="1"/>
        <v>0</v>
      </c>
      <c r="I17" s="339">
        <f t="shared" si="2"/>
        <v>0</v>
      </c>
      <c r="J17" s="332" t="s">
        <v>404</v>
      </c>
      <c r="K17" s="342">
        <v>33540</v>
      </c>
      <c r="L17" s="334"/>
      <c r="M17" s="345" t="s">
        <v>412</v>
      </c>
      <c r="O17" s="1">
        <f t="shared" si="4"/>
        <v>730</v>
      </c>
      <c r="Q17" s="1">
        <v>35</v>
      </c>
    </row>
    <row r="18" spans="1:35" x14ac:dyDescent="0.2">
      <c r="A18" s="327">
        <f t="shared" si="3"/>
        <v>15</v>
      </c>
      <c r="B18" s="353" t="s">
        <v>425</v>
      </c>
      <c r="C18" s="348">
        <v>132</v>
      </c>
      <c r="D18" s="336"/>
      <c r="E18" s="346">
        <v>220</v>
      </c>
      <c r="F18" s="338">
        <v>0.08</v>
      </c>
      <c r="G18" s="339">
        <f t="shared" si="0"/>
        <v>237.6</v>
      </c>
      <c r="H18" s="339">
        <f t="shared" si="1"/>
        <v>0</v>
      </c>
      <c r="I18" s="339">
        <f t="shared" si="2"/>
        <v>0</v>
      </c>
      <c r="J18" s="332" t="s">
        <v>404</v>
      </c>
      <c r="K18" s="342">
        <v>33520</v>
      </c>
      <c r="L18" s="334"/>
      <c r="M18" s="345" t="s">
        <v>412</v>
      </c>
      <c r="O18" s="1">
        <f t="shared" si="4"/>
        <v>730</v>
      </c>
      <c r="Q18" s="1">
        <v>25</v>
      </c>
    </row>
    <row r="19" spans="1:35" x14ac:dyDescent="0.2">
      <c r="A19" s="327">
        <f t="shared" si="3"/>
        <v>16</v>
      </c>
      <c r="B19" s="347" t="s">
        <v>426</v>
      </c>
      <c r="C19" s="348">
        <v>108</v>
      </c>
      <c r="D19" s="336"/>
      <c r="E19" s="346">
        <v>220</v>
      </c>
      <c r="F19" s="338">
        <v>0.08</v>
      </c>
      <c r="G19" s="339">
        <f t="shared" si="0"/>
        <v>237.6</v>
      </c>
      <c r="H19" s="339">
        <f t="shared" si="1"/>
        <v>0</v>
      </c>
      <c r="I19" s="339">
        <f t="shared" si="2"/>
        <v>0</v>
      </c>
      <c r="J19" s="332" t="s">
        <v>404</v>
      </c>
      <c r="K19" s="342">
        <v>33510</v>
      </c>
      <c r="L19" s="334"/>
      <c r="M19" s="345" t="s">
        <v>412</v>
      </c>
      <c r="O19" s="1">
        <f t="shared" si="4"/>
        <v>730</v>
      </c>
      <c r="Q19" s="1">
        <v>55</v>
      </c>
    </row>
    <row r="20" spans="1:35" x14ac:dyDescent="0.2">
      <c r="A20" s="327">
        <f t="shared" si="3"/>
        <v>17</v>
      </c>
      <c r="B20" s="347" t="s">
        <v>427</v>
      </c>
      <c r="C20" s="348">
        <v>132</v>
      </c>
      <c r="D20" s="336"/>
      <c r="E20" s="346">
        <v>220</v>
      </c>
      <c r="F20" s="338">
        <v>0.08</v>
      </c>
      <c r="G20" s="339">
        <f t="shared" si="0"/>
        <v>237.6</v>
      </c>
      <c r="H20" s="339">
        <f t="shared" si="1"/>
        <v>0</v>
      </c>
      <c r="I20" s="339">
        <f t="shared" si="2"/>
        <v>0</v>
      </c>
      <c r="J20" s="332" t="s">
        <v>404</v>
      </c>
      <c r="K20" s="342">
        <v>33550</v>
      </c>
      <c r="L20" s="334"/>
      <c r="M20" s="345" t="s">
        <v>412</v>
      </c>
      <c r="O20" s="1">
        <f t="shared" si="4"/>
        <v>730</v>
      </c>
      <c r="Q20" s="1">
        <v>20</v>
      </c>
    </row>
    <row r="21" spans="1:35" x14ac:dyDescent="0.2">
      <c r="A21" s="327">
        <f t="shared" si="3"/>
        <v>18</v>
      </c>
      <c r="B21" s="354" t="s">
        <v>428</v>
      </c>
      <c r="C21" s="348">
        <v>480</v>
      </c>
      <c r="D21" s="336"/>
      <c r="E21" s="346">
        <v>220</v>
      </c>
      <c r="F21" s="338">
        <v>0.08</v>
      </c>
      <c r="G21" s="339">
        <f t="shared" si="0"/>
        <v>237.6</v>
      </c>
      <c r="H21" s="339">
        <f t="shared" si="1"/>
        <v>0</v>
      </c>
      <c r="I21" s="339">
        <f t="shared" si="2"/>
        <v>0</v>
      </c>
      <c r="J21" s="332" t="s">
        <v>404</v>
      </c>
      <c r="K21" s="355">
        <v>33530</v>
      </c>
      <c r="L21" s="334"/>
      <c r="M21" s="345" t="s">
        <v>412</v>
      </c>
      <c r="O21" s="1">
        <f t="shared" si="4"/>
        <v>730</v>
      </c>
      <c r="Q21" s="1">
        <v>25</v>
      </c>
    </row>
    <row r="22" spans="1:35" x14ac:dyDescent="0.2">
      <c r="A22" s="327">
        <f t="shared" si="3"/>
        <v>19</v>
      </c>
      <c r="B22" s="354" t="s">
        <v>429</v>
      </c>
      <c r="C22" s="348">
        <v>504</v>
      </c>
      <c r="D22" s="336"/>
      <c r="E22" s="346">
        <v>220</v>
      </c>
      <c r="F22" s="338">
        <v>0.08</v>
      </c>
      <c r="G22" s="339">
        <f t="shared" si="0"/>
        <v>237.6</v>
      </c>
      <c r="H22" s="339">
        <f t="shared" si="1"/>
        <v>0</v>
      </c>
      <c r="I22" s="339">
        <f t="shared" si="2"/>
        <v>0</v>
      </c>
      <c r="J22" s="332" t="s">
        <v>404</v>
      </c>
      <c r="K22" s="355">
        <v>33560</v>
      </c>
      <c r="L22" s="334"/>
      <c r="M22" s="345" t="s">
        <v>412</v>
      </c>
      <c r="O22" s="1">
        <f t="shared" si="4"/>
        <v>730</v>
      </c>
      <c r="Q22" s="1">
        <v>20</v>
      </c>
    </row>
    <row r="23" spans="1:35" x14ac:dyDescent="0.2">
      <c r="A23" s="327">
        <f t="shared" si="3"/>
        <v>20</v>
      </c>
      <c r="B23" s="354" t="s">
        <v>430</v>
      </c>
      <c r="C23" s="348">
        <v>208</v>
      </c>
      <c r="D23" s="336"/>
      <c r="E23" s="346">
        <v>450</v>
      </c>
      <c r="F23" s="338">
        <v>0.08</v>
      </c>
      <c r="G23" s="339">
        <f t="shared" si="0"/>
        <v>486</v>
      </c>
      <c r="H23" s="339">
        <f t="shared" si="1"/>
        <v>0</v>
      </c>
      <c r="I23" s="339">
        <f t="shared" si="2"/>
        <v>0</v>
      </c>
      <c r="J23" s="332" t="s">
        <v>404</v>
      </c>
      <c r="K23" s="355" t="s">
        <v>118</v>
      </c>
      <c r="L23" s="334"/>
      <c r="M23" s="324" t="s">
        <v>410</v>
      </c>
    </row>
    <row r="24" spans="1:35" x14ac:dyDescent="0.2">
      <c r="A24" s="327">
        <f t="shared" si="3"/>
        <v>21</v>
      </c>
      <c r="B24" s="356" t="s">
        <v>18</v>
      </c>
      <c r="C24" s="357">
        <v>1452</v>
      </c>
      <c r="D24" s="336"/>
      <c r="E24" s="346"/>
      <c r="F24" s="338">
        <v>0.08</v>
      </c>
      <c r="G24" s="339">
        <f t="shared" si="0"/>
        <v>0</v>
      </c>
      <c r="H24" s="339">
        <f t="shared" si="1"/>
        <v>0</v>
      </c>
      <c r="I24" s="339">
        <f t="shared" si="2"/>
        <v>0</v>
      </c>
      <c r="J24" s="332" t="s">
        <v>404</v>
      </c>
      <c r="K24" s="358">
        <v>33000</v>
      </c>
      <c r="L24" s="334"/>
      <c r="M24" s="345" t="s">
        <v>412</v>
      </c>
      <c r="O24" s="1">
        <f>2*365</f>
        <v>730</v>
      </c>
      <c r="Q24" s="1">
        <v>45</v>
      </c>
    </row>
    <row r="25" spans="1:35" x14ac:dyDescent="0.2">
      <c r="A25" s="327">
        <f t="shared" si="3"/>
        <v>22</v>
      </c>
      <c r="B25" s="356" t="s">
        <v>431</v>
      </c>
      <c r="C25" s="357">
        <v>550</v>
      </c>
      <c r="D25" s="336"/>
      <c r="E25" s="346"/>
      <c r="F25" s="338">
        <v>0.08</v>
      </c>
      <c r="G25" s="339">
        <f t="shared" si="0"/>
        <v>0</v>
      </c>
      <c r="H25" s="339">
        <f t="shared" si="1"/>
        <v>0</v>
      </c>
      <c r="I25" s="339">
        <f t="shared" si="2"/>
        <v>0</v>
      </c>
      <c r="J25" s="332" t="s">
        <v>404</v>
      </c>
      <c r="K25" s="359" t="s">
        <v>127</v>
      </c>
      <c r="M25" s="335" t="s">
        <v>432</v>
      </c>
      <c r="Q25" s="1">
        <f>SUM(Q8:Q24)</f>
        <v>525</v>
      </c>
      <c r="R25" s="324" t="s">
        <v>433</v>
      </c>
      <c r="W25" s="324" t="s">
        <v>434</v>
      </c>
      <c r="X25" s="324" t="s">
        <v>435</v>
      </c>
      <c r="Y25" s="1" t="s">
        <v>436</v>
      </c>
      <c r="Z25" s="324" t="s">
        <v>437</v>
      </c>
      <c r="AA25" s="324" t="s">
        <v>438</v>
      </c>
      <c r="AE25" s="324" t="s">
        <v>24</v>
      </c>
      <c r="AF25" s="324" t="s">
        <v>439</v>
      </c>
      <c r="AG25" s="1" t="s">
        <v>439</v>
      </c>
      <c r="AH25" s="324" t="s">
        <v>437</v>
      </c>
      <c r="AI25" s="324" t="s">
        <v>438</v>
      </c>
    </row>
    <row r="26" spans="1:35" ht="25.5" x14ac:dyDescent="0.2">
      <c r="A26" s="327">
        <f t="shared" si="3"/>
        <v>23</v>
      </c>
      <c r="B26" s="360" t="s">
        <v>440</v>
      </c>
      <c r="C26" s="361" t="s">
        <v>441</v>
      </c>
      <c r="D26" s="327"/>
      <c r="E26" s="362"/>
      <c r="F26" s="338"/>
      <c r="G26" s="339"/>
      <c r="H26" s="339"/>
      <c r="I26" s="339"/>
      <c r="J26" s="363"/>
      <c r="K26" s="332"/>
      <c r="N26" s="1" t="s">
        <v>442</v>
      </c>
      <c r="O26" s="1">
        <f>SUM(O8:O25)</f>
        <v>10950</v>
      </c>
      <c r="P26" s="1"/>
      <c r="Q26" s="1">
        <f>Q25*365</f>
        <v>191625</v>
      </c>
      <c r="R26" s="364" t="s">
        <v>443</v>
      </c>
      <c r="Y26" s="2" t="s">
        <v>444</v>
      </c>
      <c r="Z26" s="364" t="s">
        <v>445</v>
      </c>
      <c r="AG26" s="2" t="s">
        <v>446</v>
      </c>
      <c r="AH26" s="364" t="s">
        <v>445</v>
      </c>
    </row>
    <row r="27" spans="1:35" s="1" customFormat="1" ht="15" customHeight="1" x14ac:dyDescent="0.2">
      <c r="A27" s="327">
        <f t="shared" si="3"/>
        <v>24</v>
      </c>
      <c r="B27" s="436" t="s">
        <v>447</v>
      </c>
      <c r="C27" s="436"/>
      <c r="D27" s="436"/>
      <c r="E27" s="436"/>
      <c r="F27" s="436"/>
      <c r="G27" s="436"/>
      <c r="H27" s="436"/>
      <c r="I27" s="436"/>
      <c r="J27" s="436"/>
      <c r="K27" s="436"/>
      <c r="N27" s="1" t="s">
        <v>448</v>
      </c>
      <c r="O27" s="1">
        <f>O26*3</f>
        <v>32850</v>
      </c>
      <c r="Q27" s="1">
        <f>Q26/1000</f>
        <v>191.625</v>
      </c>
      <c r="R27" s="364" t="s">
        <v>449</v>
      </c>
      <c r="Y27" s="1">
        <f>365*0.22</f>
        <v>80.3</v>
      </c>
      <c r="Z27" s="364" t="s">
        <v>450</v>
      </c>
      <c r="AG27" s="1">
        <f>365*0.11</f>
        <v>40.15</v>
      </c>
      <c r="AH27" s="364" t="s">
        <v>450</v>
      </c>
    </row>
    <row r="28" spans="1:35" ht="15" customHeight="1" x14ac:dyDescent="0.2">
      <c r="A28" s="431" t="s">
        <v>451</v>
      </c>
      <c r="B28" s="431"/>
      <c r="C28" s="431"/>
      <c r="D28" s="431"/>
      <c r="E28" s="366"/>
      <c r="F28" s="366"/>
      <c r="G28" s="367"/>
      <c r="H28" s="367"/>
      <c r="I28" s="367"/>
      <c r="J28" s="368"/>
      <c r="K28" s="332"/>
      <c r="Q28" s="1" t="s">
        <v>452</v>
      </c>
      <c r="Y28" s="352">
        <f>Y27/12</f>
        <v>6.6916666666666664</v>
      </c>
      <c r="Z28" s="324" t="s">
        <v>453</v>
      </c>
      <c r="AG28" s="352">
        <f>AG27/12</f>
        <v>3.3458333333333332</v>
      </c>
      <c r="AH28" s="324" t="s">
        <v>453</v>
      </c>
    </row>
    <row r="29" spans="1:35" ht="15" customHeight="1" x14ac:dyDescent="0.2">
      <c r="A29" s="365"/>
      <c r="B29" s="369"/>
      <c r="C29" s="369"/>
      <c r="D29" s="369"/>
      <c r="E29" s="366"/>
      <c r="F29" s="366"/>
      <c r="G29" s="367"/>
      <c r="H29" s="367"/>
      <c r="I29" s="367"/>
      <c r="J29" s="368"/>
      <c r="K29" s="332"/>
      <c r="Y29" s="324">
        <f>Y28*3</f>
        <v>20.074999999999999</v>
      </c>
      <c r="Z29" s="324" t="s">
        <v>454</v>
      </c>
      <c r="AG29" s="324">
        <f>AG28*3</f>
        <v>10.0375</v>
      </c>
      <c r="AH29" s="324" t="s">
        <v>454</v>
      </c>
    </row>
    <row r="30" spans="1:35" x14ac:dyDescent="0.2">
      <c r="A30" s="327">
        <f>A27+1</f>
        <v>25</v>
      </c>
      <c r="B30" s="335" t="s">
        <v>455</v>
      </c>
      <c r="C30" s="335"/>
      <c r="D30" s="332">
        <f>13*3</f>
        <v>39</v>
      </c>
      <c r="E30" s="370">
        <v>140</v>
      </c>
      <c r="F30" s="330">
        <v>0.23</v>
      </c>
      <c r="G30" s="331">
        <f t="shared" ref="G30:G73" si="5">E30*F30+E30</f>
        <v>172.2</v>
      </c>
      <c r="H30" s="331">
        <f t="shared" ref="H30:H73" si="6">E30*D30</f>
        <v>5460</v>
      </c>
      <c r="I30" s="331">
        <f t="shared" ref="I30:I73" si="7">G30*D30</f>
        <v>6715.7999999999993</v>
      </c>
      <c r="J30" s="359" t="s">
        <v>456</v>
      </c>
      <c r="K30" s="332" t="s">
        <v>404</v>
      </c>
      <c r="Q30" s="1">
        <f>191/60</f>
        <v>3.1833333333333331</v>
      </c>
      <c r="R30" s="324" t="s">
        <v>457</v>
      </c>
    </row>
    <row r="31" spans="1:35" x14ac:dyDescent="0.2">
      <c r="A31" s="327">
        <f t="shared" ref="A31:A67" si="8">A30+1</f>
        <v>26</v>
      </c>
      <c r="B31" s="335" t="s">
        <v>458</v>
      </c>
      <c r="C31" s="335"/>
      <c r="D31" s="332">
        <f>25*3</f>
        <v>75</v>
      </c>
      <c r="E31" s="370">
        <v>150</v>
      </c>
      <c r="F31" s="330">
        <v>0.08</v>
      </c>
      <c r="G31" s="331">
        <f t="shared" si="5"/>
        <v>162</v>
      </c>
      <c r="H31" s="331">
        <f t="shared" si="6"/>
        <v>11250</v>
      </c>
      <c r="I31" s="331">
        <f t="shared" si="7"/>
        <v>12150</v>
      </c>
      <c r="J31" s="359" t="s">
        <v>459</v>
      </c>
      <c r="K31" s="332" t="s">
        <v>404</v>
      </c>
    </row>
    <row r="32" spans="1:35" x14ac:dyDescent="0.2">
      <c r="A32" s="327">
        <f t="shared" si="8"/>
        <v>27</v>
      </c>
      <c r="B32" s="335" t="s">
        <v>460</v>
      </c>
      <c r="C32" s="335"/>
      <c r="D32" s="332">
        <f>80*3</f>
        <v>240</v>
      </c>
      <c r="E32" s="370">
        <v>120</v>
      </c>
      <c r="F32" s="330">
        <v>0.08</v>
      </c>
      <c r="G32" s="331">
        <f t="shared" si="5"/>
        <v>129.6</v>
      </c>
      <c r="H32" s="331">
        <f t="shared" si="6"/>
        <v>28800</v>
      </c>
      <c r="I32" s="331">
        <f t="shared" si="7"/>
        <v>31104</v>
      </c>
      <c r="J32" s="359" t="s">
        <v>275</v>
      </c>
      <c r="K32" s="332" t="s">
        <v>404</v>
      </c>
    </row>
    <row r="33" spans="1:13" x14ac:dyDescent="0.2">
      <c r="A33" s="327">
        <f t="shared" si="8"/>
        <v>28</v>
      </c>
      <c r="B33" s="335" t="s">
        <v>461</v>
      </c>
      <c r="C33" s="335"/>
      <c r="D33" s="332">
        <f>1*3</f>
        <v>3</v>
      </c>
      <c r="E33" s="370">
        <v>70</v>
      </c>
      <c r="F33" s="330">
        <v>0.08</v>
      </c>
      <c r="G33" s="331">
        <f t="shared" si="5"/>
        <v>75.599999999999994</v>
      </c>
      <c r="H33" s="331">
        <f t="shared" si="6"/>
        <v>210</v>
      </c>
      <c r="I33" s="331">
        <f t="shared" si="7"/>
        <v>226.79999999999998</v>
      </c>
      <c r="J33" s="359" t="s">
        <v>462</v>
      </c>
      <c r="K33" s="332" t="s">
        <v>404</v>
      </c>
    </row>
    <row r="34" spans="1:13" x14ac:dyDescent="0.2">
      <c r="A34" s="327">
        <f t="shared" si="8"/>
        <v>29</v>
      </c>
      <c r="B34" s="335" t="s">
        <v>463</v>
      </c>
      <c r="C34" s="335"/>
      <c r="D34" s="332">
        <f>4*3</f>
        <v>12</v>
      </c>
      <c r="E34" s="370">
        <v>65</v>
      </c>
      <c r="F34" s="330">
        <v>0.08</v>
      </c>
      <c r="G34" s="331">
        <f t="shared" si="5"/>
        <v>70.2</v>
      </c>
      <c r="H34" s="331">
        <f t="shared" si="6"/>
        <v>780</v>
      </c>
      <c r="I34" s="331">
        <f t="shared" si="7"/>
        <v>842.40000000000009</v>
      </c>
      <c r="J34" s="359" t="s">
        <v>464</v>
      </c>
      <c r="K34" s="332" t="s">
        <v>404</v>
      </c>
    </row>
    <row r="35" spans="1:13" x14ac:dyDescent="0.2">
      <c r="A35" s="327">
        <f t="shared" si="8"/>
        <v>30</v>
      </c>
      <c r="B35" s="335" t="s">
        <v>465</v>
      </c>
      <c r="C35" s="335"/>
      <c r="D35" s="332">
        <f>48*3</f>
        <v>144</v>
      </c>
      <c r="E35" s="370">
        <v>140</v>
      </c>
      <c r="F35" s="330">
        <v>0.08</v>
      </c>
      <c r="G35" s="331">
        <f t="shared" si="5"/>
        <v>151.19999999999999</v>
      </c>
      <c r="H35" s="331">
        <f t="shared" si="6"/>
        <v>20160</v>
      </c>
      <c r="I35" s="331">
        <f t="shared" si="7"/>
        <v>21772.799999999999</v>
      </c>
      <c r="J35" s="359" t="s">
        <v>466</v>
      </c>
      <c r="K35" s="332" t="s">
        <v>404</v>
      </c>
    </row>
    <row r="36" spans="1:13" x14ac:dyDescent="0.2">
      <c r="A36" s="327">
        <f t="shared" si="8"/>
        <v>31</v>
      </c>
      <c r="B36" s="335" t="s">
        <v>467</v>
      </c>
      <c r="C36" s="335"/>
      <c r="D36" s="332">
        <f>6*3</f>
        <v>18</v>
      </c>
      <c r="E36" s="370">
        <v>50</v>
      </c>
      <c r="F36" s="330">
        <v>0.08</v>
      </c>
      <c r="G36" s="331">
        <f t="shared" si="5"/>
        <v>54</v>
      </c>
      <c r="H36" s="331">
        <f t="shared" si="6"/>
        <v>900</v>
      </c>
      <c r="I36" s="331">
        <f t="shared" si="7"/>
        <v>972</v>
      </c>
      <c r="J36" s="359" t="s">
        <v>468</v>
      </c>
      <c r="K36" s="332" t="s">
        <v>404</v>
      </c>
    </row>
    <row r="37" spans="1:13" x14ac:dyDescent="0.2">
      <c r="A37" s="327">
        <f t="shared" si="8"/>
        <v>32</v>
      </c>
      <c r="B37" s="335" t="s">
        <v>469</v>
      </c>
      <c r="C37" s="335"/>
      <c r="D37" s="332">
        <v>6</v>
      </c>
      <c r="E37" s="370">
        <v>290</v>
      </c>
      <c r="F37" s="330">
        <v>0.23</v>
      </c>
      <c r="G37" s="331">
        <f t="shared" si="5"/>
        <v>356.7</v>
      </c>
      <c r="H37" s="331">
        <f t="shared" si="6"/>
        <v>1740</v>
      </c>
      <c r="I37" s="331">
        <f t="shared" si="7"/>
        <v>2140.1999999999998</v>
      </c>
      <c r="J37" s="359">
        <v>651412</v>
      </c>
      <c r="K37" s="332" t="s">
        <v>404</v>
      </c>
    </row>
    <row r="38" spans="1:13" x14ac:dyDescent="0.2">
      <c r="A38" s="327">
        <f t="shared" si="8"/>
        <v>33</v>
      </c>
      <c r="B38" s="335" t="s">
        <v>470</v>
      </c>
      <c r="C38" s="335"/>
      <c r="D38" s="332">
        <f>5*3</f>
        <v>15</v>
      </c>
      <c r="E38" s="370">
        <v>95</v>
      </c>
      <c r="F38" s="330">
        <v>0.23</v>
      </c>
      <c r="G38" s="331">
        <f t="shared" si="5"/>
        <v>116.85</v>
      </c>
      <c r="H38" s="331">
        <f t="shared" si="6"/>
        <v>1425</v>
      </c>
      <c r="I38" s="331">
        <f t="shared" si="7"/>
        <v>1752.75</v>
      </c>
      <c r="J38" s="359">
        <v>973001</v>
      </c>
      <c r="K38" s="332" t="s">
        <v>404</v>
      </c>
    </row>
    <row r="39" spans="1:13" x14ac:dyDescent="0.2">
      <c r="A39" s="327">
        <f t="shared" si="8"/>
        <v>34</v>
      </c>
      <c r="B39" s="335" t="s">
        <v>471</v>
      </c>
      <c r="C39" s="335"/>
      <c r="D39" s="332">
        <f>1*3</f>
        <v>3</v>
      </c>
      <c r="E39" s="370">
        <v>95</v>
      </c>
      <c r="F39" s="330">
        <v>0.08</v>
      </c>
      <c r="G39" s="331">
        <f t="shared" si="5"/>
        <v>102.6</v>
      </c>
      <c r="H39" s="331">
        <f t="shared" si="6"/>
        <v>285</v>
      </c>
      <c r="I39" s="331">
        <f t="shared" si="7"/>
        <v>307.79999999999995</v>
      </c>
      <c r="J39" s="359">
        <v>81911</v>
      </c>
      <c r="K39" s="332" t="s">
        <v>404</v>
      </c>
    </row>
    <row r="40" spans="1:13" x14ac:dyDescent="0.2">
      <c r="A40" s="327">
        <f t="shared" si="8"/>
        <v>35</v>
      </c>
      <c r="B40" s="335" t="s">
        <v>472</v>
      </c>
      <c r="C40" s="335"/>
      <c r="D40" s="332">
        <f>1*3</f>
        <v>3</v>
      </c>
      <c r="E40" s="370">
        <v>190</v>
      </c>
      <c r="F40" s="330">
        <v>0.08</v>
      </c>
      <c r="G40" s="331">
        <f t="shared" si="5"/>
        <v>205.2</v>
      </c>
      <c r="H40" s="331">
        <f t="shared" si="6"/>
        <v>570</v>
      </c>
      <c r="I40" s="331">
        <f t="shared" si="7"/>
        <v>615.59999999999991</v>
      </c>
      <c r="J40" s="359">
        <v>81912</v>
      </c>
      <c r="K40" s="332" t="s">
        <v>404</v>
      </c>
    </row>
    <row r="41" spans="1:13" x14ac:dyDescent="0.2">
      <c r="A41" s="327">
        <f t="shared" si="8"/>
        <v>36</v>
      </c>
      <c r="B41" s="349" t="s">
        <v>473</v>
      </c>
      <c r="C41" s="349"/>
      <c r="D41" s="371">
        <f>2*3</f>
        <v>6</v>
      </c>
      <c r="E41" s="370">
        <v>200</v>
      </c>
      <c r="F41" s="330">
        <v>0.08</v>
      </c>
      <c r="G41" s="331">
        <f t="shared" si="5"/>
        <v>216</v>
      </c>
      <c r="H41" s="331">
        <f t="shared" si="6"/>
        <v>1200</v>
      </c>
      <c r="I41" s="331">
        <f t="shared" si="7"/>
        <v>1296</v>
      </c>
      <c r="J41" s="372">
        <v>34335</v>
      </c>
      <c r="K41" s="332" t="s">
        <v>404</v>
      </c>
    </row>
    <row r="42" spans="1:13" x14ac:dyDescent="0.2">
      <c r="A42" s="327">
        <f t="shared" si="8"/>
        <v>37</v>
      </c>
      <c r="B42" s="349" t="s">
        <v>474</v>
      </c>
      <c r="C42" s="349"/>
      <c r="D42" s="371">
        <f>2*3</f>
        <v>6</v>
      </c>
      <c r="E42" s="370">
        <v>324</v>
      </c>
      <c r="F42" s="330">
        <v>0.08</v>
      </c>
      <c r="G42" s="331">
        <f t="shared" si="5"/>
        <v>349.92</v>
      </c>
      <c r="H42" s="331">
        <f t="shared" si="6"/>
        <v>1944</v>
      </c>
      <c r="I42" s="331">
        <f t="shared" si="7"/>
        <v>2099.52</v>
      </c>
      <c r="J42" s="372">
        <v>98202</v>
      </c>
      <c r="K42" s="332" t="s">
        <v>408</v>
      </c>
    </row>
    <row r="43" spans="1:13" x14ac:dyDescent="0.2">
      <c r="A43" s="327">
        <f t="shared" si="8"/>
        <v>38</v>
      </c>
      <c r="B43" s="335" t="s">
        <v>475</v>
      </c>
      <c r="C43" s="335"/>
      <c r="D43" s="332">
        <f>2*3</f>
        <v>6</v>
      </c>
      <c r="E43" s="370">
        <v>175</v>
      </c>
      <c r="F43" s="330">
        <v>0.08</v>
      </c>
      <c r="G43" s="331">
        <f t="shared" si="5"/>
        <v>189</v>
      </c>
      <c r="H43" s="331">
        <f t="shared" si="6"/>
        <v>1050</v>
      </c>
      <c r="I43" s="331">
        <f t="shared" si="7"/>
        <v>1134</v>
      </c>
      <c r="J43" s="359">
        <v>33825</v>
      </c>
      <c r="K43" s="332" t="s">
        <v>404</v>
      </c>
    </row>
    <row r="44" spans="1:13" x14ac:dyDescent="0.2">
      <c r="A44" s="327">
        <f t="shared" si="8"/>
        <v>39</v>
      </c>
      <c r="B44" s="335" t="s">
        <v>476</v>
      </c>
      <c r="C44" s="335"/>
      <c r="D44" s="332">
        <f>2*3</f>
        <v>6</v>
      </c>
      <c r="E44" s="370">
        <v>150</v>
      </c>
      <c r="F44" s="330">
        <v>0.08</v>
      </c>
      <c r="G44" s="331">
        <f t="shared" si="5"/>
        <v>162</v>
      </c>
      <c r="H44" s="331">
        <f t="shared" si="6"/>
        <v>900</v>
      </c>
      <c r="I44" s="331">
        <f t="shared" si="7"/>
        <v>972</v>
      </c>
      <c r="J44" s="359">
        <v>33805</v>
      </c>
      <c r="K44" s="332" t="s">
        <v>404</v>
      </c>
    </row>
    <row r="45" spans="1:13" x14ac:dyDescent="0.2">
      <c r="A45" s="327">
        <f t="shared" si="8"/>
        <v>40</v>
      </c>
      <c r="B45" s="335" t="s">
        <v>477</v>
      </c>
      <c r="C45" s="335"/>
      <c r="D45" s="332">
        <f>3*3</f>
        <v>9</v>
      </c>
      <c r="E45" s="370">
        <v>170</v>
      </c>
      <c r="F45" s="330">
        <v>0.08</v>
      </c>
      <c r="G45" s="331">
        <f t="shared" si="5"/>
        <v>183.6</v>
      </c>
      <c r="H45" s="331">
        <f t="shared" si="6"/>
        <v>1530</v>
      </c>
      <c r="I45" s="331">
        <f t="shared" si="7"/>
        <v>1652.3999999999999</v>
      </c>
      <c r="J45" s="359">
        <v>33835</v>
      </c>
      <c r="K45" s="332" t="s">
        <v>404</v>
      </c>
      <c r="M45" s="324" t="s">
        <v>478</v>
      </c>
    </row>
    <row r="46" spans="1:13" x14ac:dyDescent="0.2">
      <c r="A46" s="327">
        <f t="shared" si="8"/>
        <v>41</v>
      </c>
      <c r="B46" s="335" t="s">
        <v>479</v>
      </c>
      <c r="C46" s="335"/>
      <c r="D46" s="332">
        <f>3*3</f>
        <v>9</v>
      </c>
      <c r="E46" s="370">
        <v>150</v>
      </c>
      <c r="F46" s="330">
        <v>0.08</v>
      </c>
      <c r="G46" s="331">
        <f t="shared" si="5"/>
        <v>162</v>
      </c>
      <c r="H46" s="331">
        <f t="shared" si="6"/>
        <v>1350</v>
      </c>
      <c r="I46" s="331">
        <f t="shared" si="7"/>
        <v>1458</v>
      </c>
      <c r="J46" s="359">
        <v>33885</v>
      </c>
      <c r="K46" s="332" t="s">
        <v>404</v>
      </c>
    </row>
    <row r="47" spans="1:13" x14ac:dyDescent="0.2">
      <c r="A47" s="327">
        <f t="shared" si="8"/>
        <v>42</v>
      </c>
      <c r="B47" s="335" t="s">
        <v>480</v>
      </c>
      <c r="C47" s="335"/>
      <c r="D47" s="332">
        <f>3*3</f>
        <v>9</v>
      </c>
      <c r="E47" s="370">
        <v>260</v>
      </c>
      <c r="F47" s="330">
        <v>0.08</v>
      </c>
      <c r="G47" s="331">
        <f t="shared" si="5"/>
        <v>280.8</v>
      </c>
      <c r="H47" s="331">
        <f t="shared" si="6"/>
        <v>2340</v>
      </c>
      <c r="I47" s="331">
        <f t="shared" si="7"/>
        <v>2527.2000000000003</v>
      </c>
      <c r="J47" s="359" t="s">
        <v>145</v>
      </c>
      <c r="K47" s="332" t="s">
        <v>404</v>
      </c>
    </row>
    <row r="48" spans="1:13" x14ac:dyDescent="0.2">
      <c r="A48" s="327">
        <f t="shared" si="8"/>
        <v>43</v>
      </c>
      <c r="B48" s="335" t="s">
        <v>481</v>
      </c>
      <c r="C48" s="335"/>
      <c r="D48" s="332">
        <f>2*3</f>
        <v>6</v>
      </c>
      <c r="E48" s="370">
        <v>250</v>
      </c>
      <c r="F48" s="330">
        <v>0.08</v>
      </c>
      <c r="G48" s="331">
        <f t="shared" si="5"/>
        <v>270</v>
      </c>
      <c r="H48" s="331">
        <f t="shared" si="6"/>
        <v>1500</v>
      </c>
      <c r="I48" s="331">
        <f t="shared" si="7"/>
        <v>1620</v>
      </c>
      <c r="J48" s="359" t="s">
        <v>149</v>
      </c>
      <c r="K48" s="332" t="s">
        <v>404</v>
      </c>
    </row>
    <row r="49" spans="1:11" x14ac:dyDescent="0.2">
      <c r="A49" s="327">
        <f t="shared" si="8"/>
        <v>44</v>
      </c>
      <c r="B49" s="335" t="s">
        <v>482</v>
      </c>
      <c r="C49" s="335"/>
      <c r="D49" s="332">
        <f>3*3</f>
        <v>9</v>
      </c>
      <c r="E49" s="370">
        <v>400</v>
      </c>
      <c r="F49" s="330">
        <v>0.08</v>
      </c>
      <c r="G49" s="331">
        <f t="shared" si="5"/>
        <v>432</v>
      </c>
      <c r="H49" s="331">
        <f t="shared" si="6"/>
        <v>3600</v>
      </c>
      <c r="I49" s="331">
        <f t="shared" si="7"/>
        <v>3888</v>
      </c>
      <c r="J49" s="359" t="s">
        <v>151</v>
      </c>
      <c r="K49" s="332" t="s">
        <v>404</v>
      </c>
    </row>
    <row r="50" spans="1:11" x14ac:dyDescent="0.2">
      <c r="A50" s="327">
        <f t="shared" si="8"/>
        <v>45</v>
      </c>
      <c r="B50" s="335" t="s">
        <v>483</v>
      </c>
      <c r="C50" s="335"/>
      <c r="D50" s="332">
        <f>2*3</f>
        <v>6</v>
      </c>
      <c r="E50" s="370">
        <v>150</v>
      </c>
      <c r="F50" s="330">
        <v>0.08</v>
      </c>
      <c r="G50" s="331">
        <f t="shared" si="5"/>
        <v>162</v>
      </c>
      <c r="H50" s="331">
        <f t="shared" si="6"/>
        <v>900</v>
      </c>
      <c r="I50" s="331">
        <f t="shared" si="7"/>
        <v>972</v>
      </c>
      <c r="J50" s="359">
        <v>33515</v>
      </c>
      <c r="K50" s="332" t="s">
        <v>404</v>
      </c>
    </row>
    <row r="51" spans="1:11" x14ac:dyDescent="0.2">
      <c r="A51" s="327">
        <f t="shared" si="8"/>
        <v>46</v>
      </c>
      <c r="B51" s="335" t="s">
        <v>484</v>
      </c>
      <c r="C51" s="335"/>
      <c r="D51" s="332">
        <f>2*3</f>
        <v>6</v>
      </c>
      <c r="E51" s="370">
        <v>350</v>
      </c>
      <c r="F51" s="330">
        <v>0.08</v>
      </c>
      <c r="G51" s="331">
        <f t="shared" si="5"/>
        <v>378</v>
      </c>
      <c r="H51" s="331">
        <f t="shared" si="6"/>
        <v>2100</v>
      </c>
      <c r="I51" s="331">
        <f t="shared" si="7"/>
        <v>2268</v>
      </c>
      <c r="J51" s="359">
        <v>33525</v>
      </c>
      <c r="K51" s="332" t="s">
        <v>404</v>
      </c>
    </row>
    <row r="52" spans="1:11" x14ac:dyDescent="0.2">
      <c r="A52" s="327">
        <f t="shared" si="8"/>
        <v>47</v>
      </c>
      <c r="B52" s="335" t="s">
        <v>485</v>
      </c>
      <c r="C52" s="335"/>
      <c r="D52" s="332">
        <f>5*3</f>
        <v>15</v>
      </c>
      <c r="E52" s="370">
        <v>150</v>
      </c>
      <c r="F52" s="330">
        <v>0.08</v>
      </c>
      <c r="G52" s="331">
        <f t="shared" si="5"/>
        <v>162</v>
      </c>
      <c r="H52" s="331">
        <f t="shared" si="6"/>
        <v>2250</v>
      </c>
      <c r="I52" s="331">
        <f t="shared" si="7"/>
        <v>2430</v>
      </c>
      <c r="J52" s="359">
        <v>33545</v>
      </c>
      <c r="K52" s="332" t="s">
        <v>404</v>
      </c>
    </row>
    <row r="53" spans="1:11" x14ac:dyDescent="0.2">
      <c r="A53" s="327">
        <f t="shared" si="8"/>
        <v>48</v>
      </c>
      <c r="B53" s="335" t="s">
        <v>486</v>
      </c>
      <c r="C53" s="335"/>
      <c r="D53" s="332">
        <f>2*3</f>
        <v>6</v>
      </c>
      <c r="E53" s="370">
        <v>150</v>
      </c>
      <c r="F53" s="330">
        <v>0.08</v>
      </c>
      <c r="G53" s="331">
        <f t="shared" si="5"/>
        <v>162</v>
      </c>
      <c r="H53" s="331">
        <f t="shared" si="6"/>
        <v>900</v>
      </c>
      <c r="I53" s="331">
        <f t="shared" si="7"/>
        <v>972</v>
      </c>
      <c r="J53" s="359" t="s">
        <v>158</v>
      </c>
      <c r="K53" s="332" t="s">
        <v>404</v>
      </c>
    </row>
    <row r="54" spans="1:11" x14ac:dyDescent="0.2">
      <c r="A54" s="327">
        <f t="shared" si="8"/>
        <v>49</v>
      </c>
      <c r="B54" s="335" t="s">
        <v>487</v>
      </c>
      <c r="C54" s="335"/>
      <c r="D54" s="332">
        <f>3*3</f>
        <v>9</v>
      </c>
      <c r="E54" s="370">
        <v>220</v>
      </c>
      <c r="F54" s="330">
        <v>0.08</v>
      </c>
      <c r="G54" s="331">
        <f t="shared" si="5"/>
        <v>237.6</v>
      </c>
      <c r="H54" s="331">
        <f t="shared" si="6"/>
        <v>1980</v>
      </c>
      <c r="I54" s="331">
        <f t="shared" si="7"/>
        <v>2138.4</v>
      </c>
      <c r="J54" s="359">
        <v>33535</v>
      </c>
      <c r="K54" s="332" t="s">
        <v>404</v>
      </c>
    </row>
    <row r="55" spans="1:11" x14ac:dyDescent="0.2">
      <c r="A55" s="327">
        <f t="shared" si="8"/>
        <v>50</v>
      </c>
      <c r="B55" s="335" t="s">
        <v>488</v>
      </c>
      <c r="C55" s="335"/>
      <c r="D55" s="332">
        <f>3*3</f>
        <v>9</v>
      </c>
      <c r="E55" s="370">
        <v>150</v>
      </c>
      <c r="F55" s="330">
        <v>0.08</v>
      </c>
      <c r="G55" s="331">
        <f t="shared" si="5"/>
        <v>162</v>
      </c>
      <c r="H55" s="331">
        <f t="shared" si="6"/>
        <v>1350</v>
      </c>
      <c r="I55" s="331">
        <f t="shared" si="7"/>
        <v>1458</v>
      </c>
      <c r="J55" s="359">
        <v>33565</v>
      </c>
      <c r="K55" s="332" t="s">
        <v>404</v>
      </c>
    </row>
    <row r="56" spans="1:11" x14ac:dyDescent="0.2">
      <c r="A56" s="327">
        <f t="shared" si="8"/>
        <v>51</v>
      </c>
      <c r="B56" s="335" t="s">
        <v>489</v>
      </c>
      <c r="C56" s="335"/>
      <c r="D56" s="332">
        <f>4*3</f>
        <v>12</v>
      </c>
      <c r="E56" s="370">
        <v>150</v>
      </c>
      <c r="F56" s="330">
        <v>0.08</v>
      </c>
      <c r="G56" s="331">
        <f t="shared" si="5"/>
        <v>162</v>
      </c>
      <c r="H56" s="331">
        <f t="shared" si="6"/>
        <v>1800</v>
      </c>
      <c r="I56" s="331">
        <f t="shared" si="7"/>
        <v>1944</v>
      </c>
      <c r="J56" s="359">
        <v>33555</v>
      </c>
      <c r="K56" s="332" t="s">
        <v>404</v>
      </c>
    </row>
    <row r="57" spans="1:11" x14ac:dyDescent="0.2">
      <c r="A57" s="327">
        <f t="shared" si="8"/>
        <v>52</v>
      </c>
      <c r="B57" s="335" t="s">
        <v>490</v>
      </c>
      <c r="C57" s="335"/>
      <c r="D57" s="332">
        <f>3*3</f>
        <v>9</v>
      </c>
      <c r="E57" s="370">
        <v>150</v>
      </c>
      <c r="F57" s="330">
        <v>0.08</v>
      </c>
      <c r="G57" s="331">
        <f t="shared" si="5"/>
        <v>162</v>
      </c>
      <c r="H57" s="331">
        <f t="shared" si="6"/>
        <v>1350</v>
      </c>
      <c r="I57" s="331">
        <f t="shared" si="7"/>
        <v>1458</v>
      </c>
      <c r="J57" s="359">
        <v>37205</v>
      </c>
      <c r="K57" s="332" t="s">
        <v>404</v>
      </c>
    </row>
    <row r="58" spans="1:11" x14ac:dyDescent="0.2">
      <c r="A58" s="327">
        <f t="shared" si="8"/>
        <v>53</v>
      </c>
      <c r="B58" s="335" t="s">
        <v>491</v>
      </c>
      <c r="C58" s="335"/>
      <c r="D58" s="332">
        <f>3*3</f>
        <v>9</v>
      </c>
      <c r="E58" s="370">
        <v>150</v>
      </c>
      <c r="F58" s="330">
        <v>0.08</v>
      </c>
      <c r="G58" s="331">
        <f t="shared" si="5"/>
        <v>162</v>
      </c>
      <c r="H58" s="331">
        <f t="shared" si="6"/>
        <v>1350</v>
      </c>
      <c r="I58" s="331">
        <f t="shared" si="7"/>
        <v>1458</v>
      </c>
      <c r="J58" s="359">
        <v>37215</v>
      </c>
      <c r="K58" s="332" t="s">
        <v>404</v>
      </c>
    </row>
    <row r="59" spans="1:11" x14ac:dyDescent="0.2">
      <c r="A59" s="327">
        <f t="shared" si="8"/>
        <v>54</v>
      </c>
      <c r="B59" s="335" t="s">
        <v>492</v>
      </c>
      <c r="C59" s="335"/>
      <c r="D59" s="332">
        <f>2*3</f>
        <v>6</v>
      </c>
      <c r="E59" s="370">
        <v>150</v>
      </c>
      <c r="F59" s="330">
        <v>0.08</v>
      </c>
      <c r="G59" s="331">
        <f t="shared" si="5"/>
        <v>162</v>
      </c>
      <c r="H59" s="331">
        <f t="shared" si="6"/>
        <v>900</v>
      </c>
      <c r="I59" s="331">
        <f t="shared" si="7"/>
        <v>972</v>
      </c>
      <c r="J59" s="359">
        <v>33605</v>
      </c>
      <c r="K59" s="332" t="s">
        <v>404</v>
      </c>
    </row>
    <row r="60" spans="1:11" x14ac:dyDescent="0.2">
      <c r="A60" s="327">
        <f t="shared" si="8"/>
        <v>55</v>
      </c>
      <c r="B60" s="335" t="s">
        <v>493</v>
      </c>
      <c r="C60" s="335"/>
      <c r="D60" s="332">
        <f>4*3</f>
        <v>12</v>
      </c>
      <c r="E60" s="370">
        <v>150</v>
      </c>
      <c r="F60" s="330">
        <v>0.08</v>
      </c>
      <c r="G60" s="331">
        <f t="shared" si="5"/>
        <v>162</v>
      </c>
      <c r="H60" s="331">
        <f t="shared" si="6"/>
        <v>1800</v>
      </c>
      <c r="I60" s="331">
        <f t="shared" si="7"/>
        <v>1944</v>
      </c>
      <c r="J60" s="359" t="s">
        <v>247</v>
      </c>
      <c r="K60" s="332" t="s">
        <v>404</v>
      </c>
    </row>
    <row r="61" spans="1:11" x14ac:dyDescent="0.2">
      <c r="A61" s="327">
        <f t="shared" si="8"/>
        <v>56</v>
      </c>
      <c r="B61" s="335" t="s">
        <v>494</v>
      </c>
      <c r="C61" s="335"/>
      <c r="D61" s="332">
        <f>4*3</f>
        <v>12</v>
      </c>
      <c r="E61" s="370">
        <v>300</v>
      </c>
      <c r="F61" s="330">
        <v>0.08</v>
      </c>
      <c r="G61" s="331">
        <f t="shared" si="5"/>
        <v>324</v>
      </c>
      <c r="H61" s="331">
        <f t="shared" si="6"/>
        <v>3600</v>
      </c>
      <c r="I61" s="331">
        <f t="shared" si="7"/>
        <v>3888</v>
      </c>
      <c r="J61" s="359" t="s">
        <v>259</v>
      </c>
      <c r="K61" s="332" t="s">
        <v>404</v>
      </c>
    </row>
    <row r="62" spans="1:11" x14ac:dyDescent="0.2">
      <c r="A62" s="327">
        <f t="shared" si="8"/>
        <v>57</v>
      </c>
      <c r="B62" s="373" t="s">
        <v>495</v>
      </c>
      <c r="C62" s="373"/>
      <c r="D62" s="332">
        <f>3*3</f>
        <v>9</v>
      </c>
      <c r="E62" s="370">
        <v>226</v>
      </c>
      <c r="F62" s="330">
        <v>0.08</v>
      </c>
      <c r="G62" s="331">
        <f t="shared" si="5"/>
        <v>244.08</v>
      </c>
      <c r="H62" s="331">
        <f t="shared" si="6"/>
        <v>2034</v>
      </c>
      <c r="I62" s="331">
        <f t="shared" si="7"/>
        <v>2196.7200000000003</v>
      </c>
      <c r="J62" s="359">
        <v>33005</v>
      </c>
      <c r="K62" s="332" t="s">
        <v>404</v>
      </c>
    </row>
    <row r="63" spans="1:11" x14ac:dyDescent="0.2">
      <c r="A63" s="327">
        <f t="shared" si="8"/>
        <v>58</v>
      </c>
      <c r="B63" s="373" t="s">
        <v>496</v>
      </c>
      <c r="C63" s="373"/>
      <c r="D63" s="332">
        <v>12</v>
      </c>
      <c r="E63" s="370">
        <v>478</v>
      </c>
      <c r="F63" s="330">
        <v>0.08</v>
      </c>
      <c r="G63" s="331">
        <f t="shared" si="5"/>
        <v>516.24</v>
      </c>
      <c r="H63" s="331">
        <f t="shared" si="6"/>
        <v>5736</v>
      </c>
      <c r="I63" s="331">
        <f t="shared" si="7"/>
        <v>6194.88</v>
      </c>
      <c r="J63" s="359" t="s">
        <v>259</v>
      </c>
      <c r="K63" s="332" t="s">
        <v>404</v>
      </c>
    </row>
    <row r="64" spans="1:11" x14ac:dyDescent="0.2">
      <c r="A64" s="327">
        <f t="shared" si="8"/>
        <v>59</v>
      </c>
      <c r="B64" s="343" t="s">
        <v>417</v>
      </c>
      <c r="C64" s="349"/>
      <c r="D64" s="371">
        <f>5*3</f>
        <v>15</v>
      </c>
      <c r="E64" s="370">
        <v>300</v>
      </c>
      <c r="F64" s="330">
        <v>0.08</v>
      </c>
      <c r="G64" s="331">
        <f t="shared" si="5"/>
        <v>324</v>
      </c>
      <c r="H64" s="331">
        <f t="shared" si="6"/>
        <v>4500</v>
      </c>
      <c r="I64" s="331">
        <f t="shared" si="7"/>
        <v>4860</v>
      </c>
      <c r="J64" s="372">
        <v>34339</v>
      </c>
      <c r="K64" s="332" t="s">
        <v>404</v>
      </c>
    </row>
    <row r="65" spans="1:17" x14ac:dyDescent="0.2">
      <c r="A65" s="327">
        <f t="shared" si="8"/>
        <v>60</v>
      </c>
      <c r="B65" s="343" t="s">
        <v>409</v>
      </c>
      <c r="C65" s="343"/>
      <c r="D65" s="371">
        <f>5*3</f>
        <v>15</v>
      </c>
      <c r="E65" s="370">
        <v>357</v>
      </c>
      <c r="F65" s="330">
        <v>0.08</v>
      </c>
      <c r="G65" s="331">
        <f t="shared" si="5"/>
        <v>385.56</v>
      </c>
      <c r="H65" s="331">
        <f t="shared" si="6"/>
        <v>5355</v>
      </c>
      <c r="I65" s="331">
        <f t="shared" si="7"/>
        <v>5783.4</v>
      </c>
      <c r="J65" s="372">
        <v>98201</v>
      </c>
      <c r="K65" s="332" t="s">
        <v>408</v>
      </c>
    </row>
    <row r="66" spans="1:17" x14ac:dyDescent="0.2">
      <c r="A66" s="327">
        <f t="shared" si="8"/>
        <v>61</v>
      </c>
      <c r="B66" s="374" t="s">
        <v>405</v>
      </c>
      <c r="C66" s="335"/>
      <c r="D66" s="332">
        <f>10*4</f>
        <v>40</v>
      </c>
      <c r="E66" s="370">
        <v>450</v>
      </c>
      <c r="F66" s="330">
        <v>0.08</v>
      </c>
      <c r="G66" s="331">
        <f t="shared" si="5"/>
        <v>486</v>
      </c>
      <c r="H66" s="331">
        <f t="shared" si="6"/>
        <v>18000</v>
      </c>
      <c r="I66" s="331">
        <f t="shared" si="7"/>
        <v>19440</v>
      </c>
      <c r="J66" s="359" t="s">
        <v>261</v>
      </c>
      <c r="K66" s="332" t="s">
        <v>404</v>
      </c>
    </row>
    <row r="67" spans="1:17" x14ac:dyDescent="0.2">
      <c r="A67" s="327">
        <f t="shared" si="8"/>
        <v>62</v>
      </c>
      <c r="B67" s="374" t="s">
        <v>432</v>
      </c>
      <c r="C67" s="335"/>
      <c r="D67" s="332">
        <f>4*3</f>
        <v>12</v>
      </c>
      <c r="E67" s="370">
        <v>603</v>
      </c>
      <c r="F67" s="330">
        <v>0.08</v>
      </c>
      <c r="G67" s="331">
        <f t="shared" si="5"/>
        <v>651.24</v>
      </c>
      <c r="H67" s="331">
        <f t="shared" si="6"/>
        <v>7236</v>
      </c>
      <c r="I67" s="331">
        <f t="shared" si="7"/>
        <v>7814.88</v>
      </c>
      <c r="J67" s="359" t="s">
        <v>261</v>
      </c>
      <c r="K67" s="332" t="s">
        <v>404</v>
      </c>
    </row>
    <row r="68" spans="1:17" x14ac:dyDescent="0.2">
      <c r="A68" s="327">
        <f>A66+1</f>
        <v>62</v>
      </c>
      <c r="B68" s="375" t="s">
        <v>412</v>
      </c>
      <c r="C68" s="335"/>
      <c r="D68" s="332">
        <f>4*3</f>
        <v>12</v>
      </c>
      <c r="E68" s="370">
        <v>1200</v>
      </c>
      <c r="F68" s="330">
        <v>0.08</v>
      </c>
      <c r="G68" s="331">
        <f t="shared" si="5"/>
        <v>1296</v>
      </c>
      <c r="H68" s="331">
        <f t="shared" si="6"/>
        <v>14400</v>
      </c>
      <c r="I68" s="331">
        <f t="shared" si="7"/>
        <v>15552</v>
      </c>
      <c r="J68" s="376" t="s">
        <v>497</v>
      </c>
      <c r="K68" s="332" t="s">
        <v>498</v>
      </c>
    </row>
    <row r="69" spans="1:17" x14ac:dyDescent="0.2">
      <c r="A69" s="327">
        <f>A68+1</f>
        <v>63</v>
      </c>
      <c r="B69" s="375" t="s">
        <v>499</v>
      </c>
      <c r="C69" s="335"/>
      <c r="D69" s="332">
        <f>4*3</f>
        <v>12</v>
      </c>
      <c r="E69" s="370">
        <v>1200</v>
      </c>
      <c r="F69" s="330">
        <v>0.08</v>
      </c>
      <c r="G69" s="331">
        <f t="shared" si="5"/>
        <v>1296</v>
      </c>
      <c r="H69" s="331">
        <f t="shared" si="6"/>
        <v>14400</v>
      </c>
      <c r="I69" s="331">
        <f t="shared" si="7"/>
        <v>15552</v>
      </c>
      <c r="J69" s="376" t="s">
        <v>500</v>
      </c>
      <c r="K69" s="332" t="s">
        <v>498</v>
      </c>
    </row>
    <row r="70" spans="1:17" x14ac:dyDescent="0.2">
      <c r="A70" s="327">
        <f>A69+1</f>
        <v>64</v>
      </c>
      <c r="B70" s="374" t="s">
        <v>406</v>
      </c>
      <c r="C70" s="335"/>
      <c r="D70" s="332">
        <f>2*3</f>
        <v>6</v>
      </c>
      <c r="E70" s="370">
        <v>1300</v>
      </c>
      <c r="F70" s="330">
        <v>0.08</v>
      </c>
      <c r="G70" s="331">
        <f t="shared" si="5"/>
        <v>1404</v>
      </c>
      <c r="H70" s="331">
        <f t="shared" si="6"/>
        <v>7800</v>
      </c>
      <c r="I70" s="331">
        <f t="shared" si="7"/>
        <v>8424</v>
      </c>
      <c r="J70" s="359" t="s">
        <v>501</v>
      </c>
      <c r="K70" s="332" t="s">
        <v>498</v>
      </c>
    </row>
    <row r="71" spans="1:17" x14ac:dyDescent="0.2">
      <c r="A71" s="327">
        <f>A70+1</f>
        <v>65</v>
      </c>
      <c r="B71" s="374" t="s">
        <v>502</v>
      </c>
      <c r="C71" s="335"/>
      <c r="D71" s="332">
        <f>2*3</f>
        <v>6</v>
      </c>
      <c r="E71" s="370">
        <v>1300</v>
      </c>
      <c r="F71" s="330">
        <v>0.08</v>
      </c>
      <c r="G71" s="331">
        <f t="shared" si="5"/>
        <v>1404</v>
      </c>
      <c r="H71" s="331">
        <f t="shared" si="6"/>
        <v>7800</v>
      </c>
      <c r="I71" s="331">
        <f t="shared" si="7"/>
        <v>8424</v>
      </c>
      <c r="J71" s="359" t="s">
        <v>503</v>
      </c>
      <c r="K71" s="332" t="s">
        <v>498</v>
      </c>
    </row>
    <row r="72" spans="1:17" s="2" customFormat="1" ht="25.5" x14ac:dyDescent="0.2">
      <c r="A72" s="327">
        <f>A71+1</f>
        <v>66</v>
      </c>
      <c r="B72" s="10" t="s">
        <v>410</v>
      </c>
      <c r="C72" s="377"/>
      <c r="D72" s="16">
        <f>2*3</f>
        <v>6</v>
      </c>
      <c r="E72" s="370">
        <v>460</v>
      </c>
      <c r="F72" s="330">
        <v>0.08</v>
      </c>
      <c r="G72" s="331">
        <f t="shared" si="5"/>
        <v>496.8</v>
      </c>
      <c r="H72" s="331">
        <f t="shared" si="6"/>
        <v>2760</v>
      </c>
      <c r="I72" s="331">
        <f t="shared" si="7"/>
        <v>2980.8</v>
      </c>
      <c r="J72" s="372" t="s">
        <v>504</v>
      </c>
      <c r="K72" s="16" t="s">
        <v>498</v>
      </c>
      <c r="M72" s="2" t="s">
        <v>505</v>
      </c>
      <c r="O72" s="1"/>
      <c r="Q72" s="1"/>
    </row>
    <row r="73" spans="1:17" s="2" customFormat="1" ht="25.5" x14ac:dyDescent="0.2">
      <c r="A73" s="327">
        <f>A72+1</f>
        <v>67</v>
      </c>
      <c r="B73" s="10" t="s">
        <v>506</v>
      </c>
      <c r="C73" s="377"/>
      <c r="D73" s="16">
        <f>2*3</f>
        <v>6</v>
      </c>
      <c r="E73" s="370">
        <v>460</v>
      </c>
      <c r="F73" s="330">
        <v>0.08</v>
      </c>
      <c r="G73" s="331">
        <f t="shared" si="5"/>
        <v>496.8</v>
      </c>
      <c r="H73" s="331">
        <f t="shared" si="6"/>
        <v>2760</v>
      </c>
      <c r="I73" s="331">
        <f t="shared" si="7"/>
        <v>2980.8</v>
      </c>
      <c r="J73" s="372" t="s">
        <v>507</v>
      </c>
      <c r="K73" s="16" t="s">
        <v>498</v>
      </c>
      <c r="M73" s="2" t="s">
        <v>505</v>
      </c>
      <c r="O73" s="1"/>
      <c r="Q73" s="1"/>
    </row>
    <row r="74" spans="1:17" x14ac:dyDescent="0.2">
      <c r="H74" s="378">
        <f>SUM(H4:H73)</f>
        <v>200055</v>
      </c>
      <c r="I74" s="378">
        <f>SUM(I4:I73)</f>
        <v>217353.15</v>
      </c>
    </row>
    <row r="75" spans="1:17" x14ac:dyDescent="0.2">
      <c r="H75" s="379"/>
    </row>
    <row r="76" spans="1:17" x14ac:dyDescent="0.2">
      <c r="B76" s="324" t="s">
        <v>508</v>
      </c>
    </row>
  </sheetData>
  <mergeCells count="6">
    <mergeCell ref="A28:D28"/>
    <mergeCell ref="A1:I1"/>
    <mergeCell ref="A2:K2"/>
    <mergeCell ref="T2:U2"/>
    <mergeCell ref="J3:K3"/>
    <mergeCell ref="B27:K27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3</vt:i4>
      </vt:variant>
    </vt:vector>
  </HeadingPairs>
  <TitlesOfParts>
    <vt:vector size="10" baseType="lpstr">
      <vt:lpstr>Formularz </vt:lpstr>
      <vt:lpstr>Sheet3</vt:lpstr>
      <vt:lpstr>Sheet4</vt:lpstr>
      <vt:lpstr>Sheet5</vt:lpstr>
      <vt:lpstr>Sheet2</vt:lpstr>
      <vt:lpstr>Sheet7</vt:lpstr>
      <vt:lpstr>roboczy</vt:lpstr>
      <vt:lpstr>Sheet3!cont</vt:lpstr>
      <vt:lpstr>Sheet3!increase</vt:lpstr>
      <vt:lpstr>Sheet3!rerun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dzp</dc:creator>
  <cp:lastModifiedBy>Dorota Achcińska</cp:lastModifiedBy>
  <cp:revision>6</cp:revision>
  <cp:lastPrinted>2024-05-28T11:43:31Z</cp:lastPrinted>
  <dcterms:created xsi:type="dcterms:W3CDTF">2021-06-24T08:13:11Z</dcterms:created>
  <dcterms:modified xsi:type="dcterms:W3CDTF">2024-05-28T11:44:43Z</dcterms:modified>
</cp:coreProperties>
</file>