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P:\SR GD\2021\Edyta 2021\A GAZ\Gmina Bełżyce\"/>
    </mc:Choice>
  </mc:AlternateContent>
  <xr:revisionPtr revIDLastSave="0" documentId="8_{040257E0-831D-46FD-B421-37BD678461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 s="1"/>
  <c r="S9" i="1" s="1"/>
  <c r="T9" i="1" s="1"/>
  <c r="O9" i="1"/>
  <c r="Q9" i="1"/>
  <c r="K10" i="1"/>
  <c r="M10" i="1" s="1"/>
  <c r="S10" i="1" s="1"/>
  <c r="T10" i="1" s="1"/>
  <c r="O10" i="1"/>
  <c r="Q10" i="1"/>
  <c r="R10" i="1"/>
  <c r="K11" i="1"/>
  <c r="M11" i="1" s="1"/>
  <c r="S11" i="1" s="1"/>
  <c r="T11" i="1" s="1"/>
  <c r="O11" i="1"/>
  <c r="Q11" i="1"/>
  <c r="K12" i="1"/>
  <c r="M12" i="1" s="1"/>
  <c r="S12" i="1" s="1"/>
  <c r="T12" i="1" s="1"/>
  <c r="O12" i="1"/>
  <c r="Q12" i="1"/>
  <c r="K8" i="1"/>
  <c r="M8" i="1" s="1"/>
  <c r="S8" i="1" s="1"/>
  <c r="T8" i="1" s="1"/>
  <c r="O8" i="1"/>
  <c r="Q8" i="1"/>
  <c r="K7" i="1"/>
  <c r="M7" i="1" s="1"/>
  <c r="S7" i="1" s="1"/>
  <c r="T7" i="1" s="1"/>
  <c r="O7" i="1"/>
  <c r="Q7" i="1"/>
  <c r="R11" i="1" l="1"/>
  <c r="R12" i="1"/>
  <c r="R9" i="1"/>
  <c r="R8" i="1"/>
  <c r="R7" i="1"/>
  <c r="K13" i="1"/>
  <c r="K6" i="1"/>
  <c r="K5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M13" i="1" l="1"/>
  <c r="M6" i="1"/>
  <c r="Q6" i="1"/>
  <c r="Q13" i="1"/>
  <c r="Q5" i="1" l="1"/>
  <c r="O6" i="1"/>
  <c r="R6" i="1" s="1"/>
  <c r="S6" i="1" s="1"/>
  <c r="T6" i="1" s="1"/>
  <c r="O13" i="1"/>
  <c r="R13" i="1" s="1"/>
  <c r="S13" i="1" s="1"/>
  <c r="T13" i="1" s="1"/>
  <c r="M5" i="1"/>
  <c r="O5" i="1" l="1"/>
  <c r="R5" i="1" s="1"/>
  <c r="S5" i="1" s="1"/>
  <c r="T5" i="1" l="1"/>
  <c r="T14" i="1" s="1"/>
  <c r="S14" i="1"/>
</calcChain>
</file>

<file path=xl/sharedStrings.xml><?xml version="1.0" encoding="utf-8"?>
<sst xmlns="http://schemas.openxmlformats.org/spreadsheetml/2006/main" count="60" uniqueCount="35">
  <si>
    <t>Grupa taryfowa</t>
  </si>
  <si>
    <t>Liczba punktów poboru</t>
  </si>
  <si>
    <t>Liczba miesięcy</t>
  </si>
  <si>
    <t>Liczba dni</t>
  </si>
  <si>
    <t>Oddział dystrybucji</t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</si>
  <si>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</si>
  <si>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</si>
  <si>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</si>
  <si>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</si>
  <si>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</si>
  <si>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</si>
  <si>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nd.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</si>
  <si>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</si>
  <si>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</si>
  <si>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t>**Rozliczenia kosztów dystrybucji będą prowadzone zgodnie z taryfą OSD.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</si>
  <si>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</si>
  <si>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[gr/kWh]
(kol. 10 + 0,362)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</si>
  <si>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[zł/PPG/mc]
</t>
    </r>
    <r>
      <rPr>
        <i/>
        <sz val="9"/>
        <rFont val="Calibri"/>
        <family val="2"/>
        <charset val="238"/>
        <scheme val="minor"/>
      </rPr>
      <t>(z dokładnością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</si>
  <si>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[zł/mc] 
dla grup taryfowych z ozn. 
W-1, W-2, W-3, W-4
b) [gr/(kWh/h) za h]
dla grup taryfowych z ozn. 
W-5, W-6, W-7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</si>
  <si>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[gr/kWh]</t>
    </r>
  </si>
  <si>
    <r>
      <t xml:space="preserve">Moc umowna
</t>
    </r>
    <r>
      <rPr>
        <sz val="9"/>
        <rFont val="Calibri"/>
        <family val="2"/>
        <charset val="238"/>
        <scheme val="minor"/>
      </rPr>
      <t>[kWh/h]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</si>
  <si>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</si>
  <si>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</si>
  <si>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[kWh]</t>
    </r>
  </si>
  <si>
    <t>Cena za paliwo gazowe [zł netto]</t>
  </si>
  <si>
    <t>Cena za usługi dystrybucyjne [zł netto]**</t>
  </si>
  <si>
    <t>CENA OFERTY 
[zł netto]</t>
  </si>
  <si>
    <t>CENA OFERTY 
[zł brutto]</t>
  </si>
  <si>
    <t>PSG Sp. z o.o. - Tarnów</t>
  </si>
  <si>
    <t>W-3.6_TA</t>
  </si>
  <si>
    <t>W-4_TA</t>
  </si>
  <si>
    <t>W-5.1_TA</t>
  </si>
  <si>
    <t>W-1.1_TA</t>
  </si>
  <si>
    <t>W-2.1_TA</t>
  </si>
  <si>
    <t>Załącznik nr 3 do SWZ - Formularz cenowy - wersja poprawiona z dnia 20.05.21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</si>
</sst>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zoomScale="85" zoomScaleNormal="85" workbookViewId="0">
      <selection activeCell="L15" sqref="L15"/>
    </sheetView>
  </sheetViews>
  <sheetFormatPr defaultRowHeight="15" x14ac:dyDescent="0.25"/>
  <cols>
    <col min="1" max="1" width="10.5703125" style="11" customWidth="1"/>
    <col min="2" max="2" width="7.42578125" style="11" customWidth="1"/>
    <col min="3" max="3" width="7.140625" style="11" customWidth="1"/>
    <col min="4" max="5" width="14.140625" style="11" customWidth="1"/>
    <col min="6" max="6" width="13.28515625" style="11" customWidth="1"/>
    <col min="7" max="7" width="7.140625" style="11" customWidth="1"/>
    <col min="8" max="8" width="6.42578125" style="11" customWidth="1"/>
    <col min="9" max="9" width="20.28515625" style="11" customWidth="1"/>
    <col min="10" max="12" width="12.28515625" style="11" customWidth="1"/>
    <col min="13" max="13" width="15.7109375" style="11" customWidth="1"/>
    <col min="14" max="14" width="20" style="11" customWidth="1"/>
    <col min="15" max="15" width="22.140625" style="11" customWidth="1"/>
    <col min="16" max="16" width="12.140625" style="11" customWidth="1"/>
    <col min="17" max="17" width="15.28515625" style="11" customWidth="1"/>
    <col min="18" max="18" width="13.28515625" style="11" customWidth="1"/>
    <col min="19" max="20" width="12.42578125" style="11" customWidth="1"/>
    <col min="24" max="24" width="9.85546875" bestFit="1" customWidth="1"/>
  </cols>
  <sheetData>
    <row r="1" spans="1:20" ht="15.75" customHeight="1" x14ac:dyDescent="0.2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4" customHeight="1" x14ac:dyDescent="0.25">
      <c r="A2" s="23" t="s">
        <v>0</v>
      </c>
      <c r="B2" s="23" t="s">
        <v>1</v>
      </c>
      <c r="C2" s="23" t="s">
        <v>20</v>
      </c>
      <c r="D2" s="24" t="s">
        <v>21</v>
      </c>
      <c r="E2" s="24" t="s">
        <v>22</v>
      </c>
      <c r="F2" s="24" t="s">
        <v>23</v>
      </c>
      <c r="G2" s="23" t="s">
        <v>2</v>
      </c>
      <c r="H2" s="23" t="s">
        <v>3</v>
      </c>
      <c r="I2" s="23" t="s">
        <v>4</v>
      </c>
      <c r="J2" s="18" t="s">
        <v>24</v>
      </c>
      <c r="K2" s="18"/>
      <c r="L2" s="18"/>
      <c r="M2" s="18"/>
      <c r="N2" s="18" t="s">
        <v>25</v>
      </c>
      <c r="O2" s="18"/>
      <c r="P2" s="18"/>
      <c r="Q2" s="18"/>
      <c r="R2" s="18"/>
      <c r="S2" s="1" t="s">
        <v>26</v>
      </c>
      <c r="T2" s="1" t="s">
        <v>27</v>
      </c>
    </row>
    <row r="3" spans="1:20" ht="153" customHeight="1" x14ac:dyDescent="0.25">
      <c r="A3" s="23"/>
      <c r="B3" s="23"/>
      <c r="C3" s="23"/>
      <c r="D3" s="24"/>
      <c r="E3" s="24"/>
      <c r="F3" s="24"/>
      <c r="G3" s="23"/>
      <c r="H3" s="23"/>
      <c r="I3" s="23"/>
      <c r="J3" s="15" t="s">
        <v>15</v>
      </c>
      <c r="K3" s="14" t="s">
        <v>16</v>
      </c>
      <c r="L3" s="15" t="s">
        <v>17</v>
      </c>
      <c r="M3" s="15" t="s">
        <v>5</v>
      </c>
      <c r="N3" s="15" t="s">
        <v>18</v>
      </c>
      <c r="O3" s="15" t="s">
        <v>6</v>
      </c>
      <c r="P3" s="14" t="s">
        <v>19</v>
      </c>
      <c r="Q3" s="15" t="s">
        <v>7</v>
      </c>
      <c r="R3" s="15" t="s">
        <v>8</v>
      </c>
      <c r="S3" s="15" t="s">
        <v>9</v>
      </c>
      <c r="T3" s="15" t="s">
        <v>10</v>
      </c>
    </row>
    <row r="4" spans="1:20" ht="12.75" customHeight="1" x14ac:dyDescent="0.25">
      <c r="A4" s="2" t="str">
        <f>"-1-"</f>
        <v>-1-</v>
      </c>
      <c r="B4" s="2" t="str">
        <f>"-2-"</f>
        <v>-2-</v>
      </c>
      <c r="C4" s="2" t="str">
        <f>"-3-"</f>
        <v>-3-</v>
      </c>
      <c r="D4" s="2" t="str">
        <f>"-4-"</f>
        <v>-4-</v>
      </c>
      <c r="E4" s="2" t="str">
        <f>"-5-"</f>
        <v>-5-</v>
      </c>
      <c r="F4" s="2" t="str">
        <f>"-6-"</f>
        <v>-6-</v>
      </c>
      <c r="G4" s="2" t="str">
        <f>"-7-"</f>
        <v>-7-</v>
      </c>
      <c r="H4" s="2" t="str">
        <f>"-8-"</f>
        <v>-8-</v>
      </c>
      <c r="I4" s="2" t="str">
        <f>"-9-"</f>
        <v>-9-</v>
      </c>
      <c r="J4" s="2" t="str">
        <f>"-10-"</f>
        <v>-10-</v>
      </c>
      <c r="K4" s="2" t="str">
        <f>"-11-"</f>
        <v>-11-</v>
      </c>
      <c r="L4" s="2" t="str">
        <f>"-12-"</f>
        <v>-12-</v>
      </c>
      <c r="M4" s="2" t="str">
        <f>"-13-"</f>
        <v>-13-</v>
      </c>
      <c r="N4" s="2" t="str">
        <f>"-14-"</f>
        <v>-14-</v>
      </c>
      <c r="O4" s="2" t="str">
        <f>"-15-"</f>
        <v>-15-</v>
      </c>
      <c r="P4" s="2" t="str">
        <f>"-16-"</f>
        <v>-16-</v>
      </c>
      <c r="Q4" s="2" t="str">
        <f>"-17-"</f>
        <v>-17-</v>
      </c>
      <c r="R4" s="2" t="str">
        <f>"-18-"</f>
        <v>-18-</v>
      </c>
      <c r="S4" s="2" t="str">
        <f>"-19-"</f>
        <v>-19-</v>
      </c>
      <c r="T4" s="2" t="str">
        <f>"-20-"</f>
        <v>-20-</v>
      </c>
    </row>
    <row r="5" spans="1:20" ht="28.15" customHeight="1" x14ac:dyDescent="0.25">
      <c r="A5" s="2" t="s">
        <v>32</v>
      </c>
      <c r="B5" s="2">
        <v>1</v>
      </c>
      <c r="C5" s="3" t="s">
        <v>11</v>
      </c>
      <c r="D5" s="4">
        <v>4600</v>
      </c>
      <c r="E5" s="4">
        <v>0</v>
      </c>
      <c r="F5" s="4">
        <v>4600</v>
      </c>
      <c r="G5" s="4">
        <v>23</v>
      </c>
      <c r="H5" s="4" t="s">
        <v>11</v>
      </c>
      <c r="I5" s="5" t="s">
        <v>28</v>
      </c>
      <c r="J5" s="6">
        <v>14.5</v>
      </c>
      <c r="K5" s="7">
        <f>IF(ROUND(J5,3)=0,"",ROUND(J5,3)+0.362)</f>
        <v>14.862</v>
      </c>
      <c r="L5" s="8">
        <v>3.99</v>
      </c>
      <c r="M5" s="9">
        <f>IF(ROUND(J5,3)&gt;0,ROUND(D5*ROUND(J5,3)/100+E5*K5/100+ROUND(L5,2)*G5*B5,2),"")</f>
        <v>758.77</v>
      </c>
      <c r="N5" s="10">
        <v>3.34</v>
      </c>
      <c r="O5" s="9">
        <f>ROUND(IF(C5="nd.",B5*N5*G5,(H5*24*C5*N5)/100),2)</f>
        <v>76.819999999999993</v>
      </c>
      <c r="P5" s="10">
        <v>5.0599999999999996</v>
      </c>
      <c r="Q5" s="9">
        <f t="shared" ref="Q5:Q13" si="0">ROUND(P5*F5/100,2)</f>
        <v>232.76</v>
      </c>
      <c r="R5" s="9">
        <f t="shared" ref="R5:R13" si="1">O5+Q5</f>
        <v>309.58</v>
      </c>
      <c r="S5" s="9">
        <f>IF(J5&gt;0,M5+R5,"")</f>
        <v>1068.3499999999999</v>
      </c>
      <c r="T5" s="9">
        <f>IF(J5&gt;0,ROUND(S5*1.23,2),"")</f>
        <v>1314.07</v>
      </c>
    </row>
    <row r="6" spans="1:20" ht="28.15" customHeight="1" x14ac:dyDescent="0.25">
      <c r="A6" s="2" t="s">
        <v>32</v>
      </c>
      <c r="B6" s="2">
        <v>3</v>
      </c>
      <c r="C6" s="3" t="s">
        <v>11</v>
      </c>
      <c r="D6" s="4">
        <v>8808</v>
      </c>
      <c r="E6" s="4">
        <v>0</v>
      </c>
      <c r="F6" s="4">
        <v>8808</v>
      </c>
      <c r="G6" s="4">
        <v>24</v>
      </c>
      <c r="H6" s="4" t="s">
        <v>11</v>
      </c>
      <c r="I6" s="5" t="s">
        <v>28</v>
      </c>
      <c r="J6" s="16">
        <v>14.5</v>
      </c>
      <c r="K6" s="7">
        <f t="shared" ref="K6:K13" si="2">IF(ROUND(J6,3)=0,"",ROUND(J6,3)+0.362)</f>
        <v>14.862</v>
      </c>
      <c r="L6" s="17">
        <v>3.99</v>
      </c>
      <c r="M6" s="9">
        <f t="shared" ref="M6:M13" si="3">IF(ROUND(J6,3)&gt;0,ROUND(D6*ROUND(J6,3)/100+E6*K6/100+ROUND(L6,2)*G6*B6,2),"")</f>
        <v>1564.44</v>
      </c>
      <c r="N6" s="10">
        <v>3.34</v>
      </c>
      <c r="O6" s="9">
        <f t="shared" ref="O6:O13" si="4">ROUND(IF(C6="nd.",B6*N6*G6,(H6*24*C6*N6)/100),2)</f>
        <v>240.48</v>
      </c>
      <c r="P6" s="10">
        <v>5.0599999999999996</v>
      </c>
      <c r="Q6" s="9">
        <f t="shared" si="0"/>
        <v>445.68</v>
      </c>
      <c r="R6" s="9">
        <f t="shared" si="1"/>
        <v>686.16</v>
      </c>
      <c r="S6" s="9">
        <f t="shared" ref="S6:S13" si="5">IF(J6&gt;0,M6+R6,"")</f>
        <v>2250.6</v>
      </c>
      <c r="T6" s="9">
        <f t="shared" ref="T6:T13" si="6">IF(J6&gt;0,ROUND(S6*1.23,2),"")</f>
        <v>2768.24</v>
      </c>
    </row>
    <row r="7" spans="1:20" ht="28.15" customHeight="1" x14ac:dyDescent="0.25">
      <c r="A7" s="2" t="s">
        <v>33</v>
      </c>
      <c r="B7" s="2">
        <v>1</v>
      </c>
      <c r="C7" s="3" t="s">
        <v>11</v>
      </c>
      <c r="D7" s="4">
        <v>22800</v>
      </c>
      <c r="E7" s="4">
        <v>0</v>
      </c>
      <c r="F7" s="4">
        <v>22800</v>
      </c>
      <c r="G7" s="4">
        <v>24</v>
      </c>
      <c r="H7" s="4" t="s">
        <v>11</v>
      </c>
      <c r="I7" s="5" t="s">
        <v>28</v>
      </c>
      <c r="J7" s="16">
        <v>14.5</v>
      </c>
      <c r="K7" s="7">
        <f t="shared" ref="K7:K8" si="7">IF(ROUND(J7,3)=0,"",ROUND(J7,3)+0.362)</f>
        <v>14.862</v>
      </c>
      <c r="L7" s="17">
        <v>5.99</v>
      </c>
      <c r="M7" s="9">
        <f t="shared" ref="M7:M8" si="8">IF(ROUND(J7,3)&gt;0,ROUND(D7*ROUND(J7,3)/100+E7*K7/100+ROUND(L7,2)*G7*B7,2),"")</f>
        <v>3449.76</v>
      </c>
      <c r="N7" s="10">
        <v>8.51</v>
      </c>
      <c r="O7" s="9">
        <f t="shared" ref="O7" si="9">ROUND(IF(C7="nd.",B7*N7*G7,(H7*24*C7*N7)/100),2)</f>
        <v>204.24</v>
      </c>
      <c r="P7" s="10">
        <v>3.681</v>
      </c>
      <c r="Q7" s="9">
        <f t="shared" ref="Q7" si="10">ROUND(P7*F7/100,2)</f>
        <v>839.27</v>
      </c>
      <c r="R7" s="9">
        <f t="shared" ref="R7" si="11">O7+Q7</f>
        <v>1043.51</v>
      </c>
      <c r="S7" s="9">
        <f t="shared" ref="S7" si="12">IF(J7&gt;0,M7+R7,"")</f>
        <v>4493.2700000000004</v>
      </c>
      <c r="T7" s="9">
        <f t="shared" ref="T7" si="13">IF(J7&gt;0,ROUND(S7*1.23,2),"")</f>
        <v>5526.72</v>
      </c>
    </row>
    <row r="8" spans="1:20" ht="28.15" customHeight="1" x14ac:dyDescent="0.25">
      <c r="A8" s="2" t="s">
        <v>29</v>
      </c>
      <c r="B8" s="2">
        <v>1</v>
      </c>
      <c r="C8" s="3" t="s">
        <v>11</v>
      </c>
      <c r="D8" s="4">
        <v>48467</v>
      </c>
      <c r="E8" s="4">
        <v>0</v>
      </c>
      <c r="F8" s="4">
        <v>48467</v>
      </c>
      <c r="G8" s="4">
        <v>23</v>
      </c>
      <c r="H8" s="4" t="s">
        <v>11</v>
      </c>
      <c r="I8" s="5" t="s">
        <v>28</v>
      </c>
      <c r="J8" s="16">
        <v>14.5</v>
      </c>
      <c r="K8" s="7">
        <f t="shared" si="7"/>
        <v>14.862</v>
      </c>
      <c r="L8" s="17">
        <v>6.99</v>
      </c>
      <c r="M8" s="9">
        <f t="shared" si="8"/>
        <v>7188.49</v>
      </c>
      <c r="N8" s="10">
        <v>32.85</v>
      </c>
      <c r="O8" s="9">
        <f t="shared" ref="O8" si="14">ROUND(IF(C8="nd.",B8*N8*G8,(H8*24*C8*N8)/100),2)</f>
        <v>755.55</v>
      </c>
      <c r="P8" s="10">
        <v>2.7589999999999999</v>
      </c>
      <c r="Q8" s="9">
        <f t="shared" ref="Q8" si="15">ROUND(P8*F8/100,2)</f>
        <v>1337.2</v>
      </c>
      <c r="R8" s="9">
        <f t="shared" ref="R8" si="16">O8+Q8</f>
        <v>2092.75</v>
      </c>
      <c r="S8" s="9">
        <f t="shared" ref="S8" si="17">IF(J8&gt;0,M8+R8,"")</f>
        <v>9281.24</v>
      </c>
      <c r="T8" s="9">
        <f t="shared" ref="T8" si="18">IF(J8&gt;0,ROUND(S8*1.23,2),"")</f>
        <v>11415.93</v>
      </c>
    </row>
    <row r="9" spans="1:20" ht="28.15" customHeight="1" x14ac:dyDescent="0.25">
      <c r="A9" s="2" t="s">
        <v>29</v>
      </c>
      <c r="B9" s="2">
        <v>2</v>
      </c>
      <c r="C9" s="3" t="s">
        <v>11</v>
      </c>
      <c r="D9" s="4">
        <v>189174</v>
      </c>
      <c r="E9" s="4">
        <v>0</v>
      </c>
      <c r="F9" s="4">
        <v>189174</v>
      </c>
      <c r="G9" s="4">
        <v>24</v>
      </c>
      <c r="H9" s="4" t="s">
        <v>11</v>
      </c>
      <c r="I9" s="5" t="s">
        <v>28</v>
      </c>
      <c r="J9" s="16">
        <v>14.5</v>
      </c>
      <c r="K9" s="7">
        <f t="shared" ref="K9:K12" si="19">IF(ROUND(J9,3)=0,"",ROUND(J9,3)+0.362)</f>
        <v>14.862</v>
      </c>
      <c r="L9" s="17">
        <v>6.99</v>
      </c>
      <c r="M9" s="9">
        <f t="shared" ref="M9:M12" si="20">IF(ROUND(J9,3)&gt;0,ROUND(D9*ROUND(J9,3)/100+E9*K9/100+ROUND(L9,2)*G9*B9,2),"")</f>
        <v>27765.75</v>
      </c>
      <c r="N9" s="10">
        <v>32.85</v>
      </c>
      <c r="O9" s="9">
        <f t="shared" ref="O9:O12" si="21">ROUND(IF(C9="nd.",B9*N9*G9,(H9*24*C9*N9)/100),2)</f>
        <v>1576.8</v>
      </c>
      <c r="P9" s="10">
        <v>2.7589999999999999</v>
      </c>
      <c r="Q9" s="9">
        <f t="shared" ref="Q9:Q12" si="22">ROUND(P9*F9/100,2)</f>
        <v>5219.3100000000004</v>
      </c>
      <c r="R9" s="9">
        <f t="shared" ref="R9:R12" si="23">O9+Q9</f>
        <v>6796.1100000000006</v>
      </c>
      <c r="S9" s="9">
        <f t="shared" ref="S9:S12" si="24">IF(J9&gt;0,M9+R9,"")</f>
        <v>34561.86</v>
      </c>
      <c r="T9" s="9">
        <f t="shared" ref="T9:T12" si="25">IF(J9&gt;0,ROUND(S9*1.23,2),"")</f>
        <v>42511.09</v>
      </c>
    </row>
    <row r="10" spans="1:20" ht="28.15" customHeight="1" x14ac:dyDescent="0.25">
      <c r="A10" s="2" t="s">
        <v>30</v>
      </c>
      <c r="B10" s="2">
        <v>1</v>
      </c>
      <c r="C10" s="3" t="s">
        <v>11</v>
      </c>
      <c r="D10" s="4">
        <v>179318</v>
      </c>
      <c r="E10" s="4">
        <v>0</v>
      </c>
      <c r="F10" s="4">
        <v>179318</v>
      </c>
      <c r="G10" s="4">
        <v>23</v>
      </c>
      <c r="H10" s="4" t="s">
        <v>11</v>
      </c>
      <c r="I10" s="5" t="s">
        <v>28</v>
      </c>
      <c r="J10" s="16">
        <v>14.5</v>
      </c>
      <c r="K10" s="7">
        <f t="shared" si="19"/>
        <v>14.862</v>
      </c>
      <c r="L10" s="17">
        <v>16.989999999999998</v>
      </c>
      <c r="M10" s="9">
        <f t="shared" si="20"/>
        <v>26391.88</v>
      </c>
      <c r="N10" s="10">
        <v>183.52</v>
      </c>
      <c r="O10" s="9">
        <f t="shared" si="21"/>
        <v>4220.96</v>
      </c>
      <c r="P10" s="10">
        <v>2.7040000000000002</v>
      </c>
      <c r="Q10" s="9">
        <f t="shared" si="22"/>
        <v>4848.76</v>
      </c>
      <c r="R10" s="9">
        <f t="shared" si="23"/>
        <v>9069.7200000000012</v>
      </c>
      <c r="S10" s="9">
        <f t="shared" si="24"/>
        <v>35461.600000000006</v>
      </c>
      <c r="T10" s="9">
        <f t="shared" si="25"/>
        <v>43617.77</v>
      </c>
    </row>
    <row r="11" spans="1:20" ht="28.15" customHeight="1" x14ac:dyDescent="0.25">
      <c r="A11" s="2" t="s">
        <v>30</v>
      </c>
      <c r="B11" s="2">
        <v>5</v>
      </c>
      <c r="C11" s="3" t="s">
        <v>11</v>
      </c>
      <c r="D11" s="4">
        <v>1393024</v>
      </c>
      <c r="E11" s="4">
        <v>0</v>
      </c>
      <c r="F11" s="4">
        <v>1393024</v>
      </c>
      <c r="G11" s="4">
        <v>24</v>
      </c>
      <c r="H11" s="4" t="s">
        <v>11</v>
      </c>
      <c r="I11" s="5" t="s">
        <v>28</v>
      </c>
      <c r="J11" s="16">
        <v>14.5</v>
      </c>
      <c r="K11" s="7">
        <f t="shared" si="19"/>
        <v>14.862</v>
      </c>
      <c r="L11" s="17">
        <v>16.989999999999998</v>
      </c>
      <c r="M11" s="9">
        <f t="shared" si="20"/>
        <v>204027.28</v>
      </c>
      <c r="N11" s="10">
        <v>183.52</v>
      </c>
      <c r="O11" s="9">
        <f t="shared" si="21"/>
        <v>22022.400000000001</v>
      </c>
      <c r="P11" s="10">
        <v>2.7040000000000002</v>
      </c>
      <c r="Q11" s="9">
        <f t="shared" si="22"/>
        <v>37667.370000000003</v>
      </c>
      <c r="R11" s="9">
        <f t="shared" si="23"/>
        <v>59689.770000000004</v>
      </c>
      <c r="S11" s="9">
        <f t="shared" si="24"/>
        <v>263717.05</v>
      </c>
      <c r="T11" s="9">
        <f t="shared" si="25"/>
        <v>324371.96999999997</v>
      </c>
    </row>
    <row r="12" spans="1:20" ht="28.15" customHeight="1" x14ac:dyDescent="0.25">
      <c r="A12" s="2" t="s">
        <v>31</v>
      </c>
      <c r="B12" s="2">
        <v>1</v>
      </c>
      <c r="C12" s="3">
        <v>274</v>
      </c>
      <c r="D12" s="4">
        <v>1363867</v>
      </c>
      <c r="E12" s="4">
        <v>0</v>
      </c>
      <c r="F12" s="4">
        <v>1363867</v>
      </c>
      <c r="G12" s="4">
        <v>23</v>
      </c>
      <c r="H12" s="4">
        <v>699</v>
      </c>
      <c r="I12" s="5" t="s">
        <v>28</v>
      </c>
      <c r="J12" s="16">
        <v>14.5</v>
      </c>
      <c r="K12" s="7">
        <f t="shared" si="19"/>
        <v>14.862</v>
      </c>
      <c r="L12" s="17">
        <v>39.99</v>
      </c>
      <c r="M12" s="9">
        <f t="shared" si="20"/>
        <v>198680.49</v>
      </c>
      <c r="N12" s="10">
        <v>0.47499999999999998</v>
      </c>
      <c r="O12" s="9">
        <f t="shared" si="21"/>
        <v>21833.96</v>
      </c>
      <c r="P12" s="10">
        <v>2.452</v>
      </c>
      <c r="Q12" s="9">
        <f t="shared" si="22"/>
        <v>33442.019999999997</v>
      </c>
      <c r="R12" s="9">
        <f t="shared" si="23"/>
        <v>55275.979999999996</v>
      </c>
      <c r="S12" s="9">
        <f t="shared" si="24"/>
        <v>253956.46999999997</v>
      </c>
      <c r="T12" s="9">
        <f t="shared" si="25"/>
        <v>312366.46000000002</v>
      </c>
    </row>
    <row r="13" spans="1:20" ht="28.15" customHeight="1" x14ac:dyDescent="0.25">
      <c r="A13" s="2" t="s">
        <v>31</v>
      </c>
      <c r="B13" s="2">
        <v>2</v>
      </c>
      <c r="C13" s="3">
        <v>505</v>
      </c>
      <c r="D13" s="4">
        <v>1929950</v>
      </c>
      <c r="E13" s="4">
        <v>0</v>
      </c>
      <c r="F13" s="4">
        <v>1929950</v>
      </c>
      <c r="G13" s="4">
        <v>24</v>
      </c>
      <c r="H13" s="4">
        <v>730</v>
      </c>
      <c r="I13" s="5" t="s">
        <v>28</v>
      </c>
      <c r="J13" s="16">
        <v>14.5</v>
      </c>
      <c r="K13" s="7">
        <f t="shared" si="2"/>
        <v>14.862</v>
      </c>
      <c r="L13" s="17">
        <v>39.99</v>
      </c>
      <c r="M13" s="9">
        <f t="shared" si="3"/>
        <v>281762.27</v>
      </c>
      <c r="N13" s="10">
        <v>0.47499999999999998</v>
      </c>
      <c r="O13" s="9">
        <f t="shared" si="4"/>
        <v>42026.1</v>
      </c>
      <c r="P13" s="10">
        <v>2.452</v>
      </c>
      <c r="Q13" s="9">
        <f t="shared" si="0"/>
        <v>47322.37</v>
      </c>
      <c r="R13" s="9">
        <f t="shared" si="1"/>
        <v>89348.47</v>
      </c>
      <c r="S13" s="9">
        <f t="shared" si="5"/>
        <v>371110.74</v>
      </c>
      <c r="T13" s="9">
        <f t="shared" si="6"/>
        <v>456466.21</v>
      </c>
    </row>
    <row r="14" spans="1:20" ht="28.15" customHeight="1" x14ac:dyDescent="0.25">
      <c r="R14" s="13" t="s">
        <v>12</v>
      </c>
      <c r="S14" s="9">
        <f>IF(SUM(S5:S13)&gt;0,SUM(S5:S13),"")</f>
        <v>975901.17999999993</v>
      </c>
      <c r="T14" s="9">
        <f>IF(SUM(T5:T13)&gt;0,SUM(T5:T13),"")</f>
        <v>1200358.46</v>
      </c>
    </row>
    <row r="15" spans="1:20" ht="66.599999999999994" customHeight="1" x14ac:dyDescent="0.25">
      <c r="A15" s="19" t="s">
        <v>13</v>
      </c>
      <c r="B15" s="20"/>
      <c r="C15" s="20"/>
      <c r="D15" s="20"/>
      <c r="E15" s="20"/>
      <c r="F15" s="20"/>
      <c r="G15" s="20"/>
      <c r="H15" s="20"/>
      <c r="I15" s="21"/>
    </row>
    <row r="16" spans="1:20" ht="15.75" x14ac:dyDescent="0.25">
      <c r="A16" s="19" t="s">
        <v>14</v>
      </c>
      <c r="B16" s="20"/>
      <c r="C16" s="20"/>
      <c r="D16" s="20"/>
      <c r="E16" s="20"/>
      <c r="F16" s="20"/>
      <c r="G16" s="20"/>
      <c r="H16" s="20"/>
      <c r="I16" s="21"/>
    </row>
    <row r="41" spans="10:10" x14ac:dyDescent="0.25">
      <c r="J41" s="12"/>
    </row>
  </sheetData>
  <sheetProtection algorithmName="SHA-512" hashValue="vyUMk/pRamlvirYpTIWiM3uRWtE/VpZ9wETfUTmyR7iqSi2P4ny1ltk9jaWCQORKVlhR43vbJNpXYzZo8zobbA==" saltValue="MB0oosq9jgsg0VVw2cY9kw==" spinCount="100000" sheet="1" objects="1" scenarios="1"/>
  <protectedRanges>
    <protectedRange sqref="L5:L13" name="Rozstęp2"/>
    <protectedRange sqref="J5:J13" name="Rozstęp1"/>
  </protectedRanges>
  <mergeCells count="14">
    <mergeCell ref="J2:M2"/>
    <mergeCell ref="N2:R2"/>
    <mergeCell ref="A15:I15"/>
    <mergeCell ref="A16:I16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Grochowiecka Edyta</cp:lastModifiedBy>
  <cp:lastPrinted>2021-02-23T12:46:03Z</cp:lastPrinted>
  <dcterms:created xsi:type="dcterms:W3CDTF">2015-06-05T18:19:34Z</dcterms:created>
  <dcterms:modified xsi:type="dcterms:W3CDTF">2021-05-24T07:22:32Z</dcterms:modified>
</cp:coreProperties>
</file>