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nt-1035\Desktop\DOKUMENTY TERESY\Łomża\ŁOMŻA 2018\Postępowanie na żaluzje\"/>
    </mc:Choice>
  </mc:AlternateContent>
  <bookViews>
    <workbookView xWindow="0" yWindow="0" windowWidth="15480" windowHeight="11640" tabRatio="533" activeTab="1"/>
  </bookViews>
  <sheets>
    <sheet name="Zestawienie (2)" sheetId="15" r:id="rId1"/>
    <sheet name="Zestawienie (3)" sheetId="16" r:id="rId2"/>
  </sheets>
  <definedNames>
    <definedName name="_xlnm.Print_Titles" localSheetId="0">'Zestawienie (2)'!$B:$C,'Zestawienie (2)'!$2:$2</definedName>
    <definedName name="_xlnm.Print_Titles" localSheetId="1">'Zestawienie (3)'!$B:$B,'Zestawienie (3)'!#REF!</definedName>
  </definedNames>
  <calcPr calcId="152511"/>
</workbook>
</file>

<file path=xl/calcChain.xml><?xml version="1.0" encoding="utf-8"?>
<calcChain xmlns="http://schemas.openxmlformats.org/spreadsheetml/2006/main">
  <c r="M9" i="15" l="1"/>
  <c r="M110" i="15"/>
  <c r="M134" i="15"/>
  <c r="H126" i="15"/>
  <c r="H125" i="15"/>
  <c r="S118" i="15"/>
  <c r="S119" i="15"/>
  <c r="K113" i="15" l="1"/>
  <c r="M112" i="15"/>
  <c r="M111" i="15" l="1"/>
  <c r="M113" i="15"/>
  <c r="J24" i="15"/>
  <c r="I80" i="15"/>
  <c r="I26" i="15"/>
  <c r="I24" i="15"/>
  <c r="I23" i="15"/>
  <c r="I18" i="15"/>
  <c r="I106" i="15"/>
  <c r="J106" i="15"/>
  <c r="J105" i="15"/>
  <c r="I105" i="15"/>
  <c r="J104" i="15"/>
  <c r="J103" i="15"/>
  <c r="G103" i="15"/>
  <c r="I103" i="15" s="1"/>
  <c r="G102" i="15"/>
  <c r="J102" i="15" s="1"/>
  <c r="M126" i="15"/>
  <c r="K126" i="15"/>
  <c r="K125" i="15"/>
  <c r="M124" i="15"/>
  <c r="K124" i="15"/>
  <c r="Q118" i="15"/>
  <c r="N116" i="15"/>
  <c r="P116" i="15" s="1"/>
  <c r="N115" i="15"/>
  <c r="P115" i="15" s="1"/>
  <c r="G108" i="15"/>
  <c r="J108" i="15" s="1"/>
  <c r="G107" i="15"/>
  <c r="J107" i="15" s="1"/>
  <c r="G104" i="15"/>
  <c r="I104" i="15" s="1"/>
  <c r="U98" i="15"/>
  <c r="Q97" i="15"/>
  <c r="N97" i="15"/>
  <c r="M97" i="15"/>
  <c r="K97" i="15"/>
  <c r="K98" i="15" s="1"/>
  <c r="G97" i="15"/>
  <c r="F97" i="15"/>
  <c r="I96" i="15"/>
  <c r="I95" i="15"/>
  <c r="S94" i="15"/>
  <c r="S97" i="15" s="1"/>
  <c r="I93" i="15"/>
  <c r="P92" i="15"/>
  <c r="P91" i="15"/>
  <c r="P90" i="15"/>
  <c r="P89" i="15"/>
  <c r="I88" i="15"/>
  <c r="I87" i="15"/>
  <c r="I86" i="15"/>
  <c r="I85" i="15"/>
  <c r="I84" i="15"/>
  <c r="I83" i="15"/>
  <c r="I82" i="15"/>
  <c r="I81" i="15"/>
  <c r="J80" i="15"/>
  <c r="I79" i="15"/>
  <c r="I78" i="15"/>
  <c r="I77" i="15"/>
  <c r="I76" i="15"/>
  <c r="I75" i="15"/>
  <c r="I74" i="15"/>
  <c r="I73" i="15"/>
  <c r="I72" i="15"/>
  <c r="I71" i="15"/>
  <c r="I70" i="15"/>
  <c r="I69" i="15"/>
  <c r="J68" i="15"/>
  <c r="J97" i="15" s="1"/>
  <c r="I68" i="15"/>
  <c r="I67" i="15"/>
  <c r="I66" i="15"/>
  <c r="Q64" i="15"/>
  <c r="O64" i="15"/>
  <c r="N64" i="15"/>
  <c r="M64" i="15"/>
  <c r="K64" i="15"/>
  <c r="J64" i="15"/>
  <c r="G64" i="15"/>
  <c r="F64" i="15"/>
  <c r="I63" i="15"/>
  <c r="I62" i="15"/>
  <c r="I61" i="15"/>
  <c r="I60" i="15"/>
  <c r="P59" i="15"/>
  <c r="P58" i="15"/>
  <c r="P57" i="15"/>
  <c r="P56" i="15"/>
  <c r="I55" i="15"/>
  <c r="I54" i="15"/>
  <c r="I53" i="15"/>
  <c r="I52" i="15"/>
  <c r="I51" i="15"/>
  <c r="I50" i="15"/>
  <c r="I46" i="15"/>
  <c r="I45" i="15"/>
  <c r="I44" i="15"/>
  <c r="I43" i="15"/>
  <c r="I42" i="15"/>
  <c r="I41" i="15"/>
  <c r="I40" i="15"/>
  <c r="I39" i="15"/>
  <c r="I36" i="15"/>
  <c r="P35" i="15"/>
  <c r="I34" i="15"/>
  <c r="I33" i="15"/>
  <c r="I32" i="15"/>
  <c r="I31" i="15"/>
  <c r="I30" i="15"/>
  <c r="S29" i="15"/>
  <c r="Q27" i="15"/>
  <c r="N27" i="15"/>
  <c r="K27" i="15"/>
  <c r="J27" i="15"/>
  <c r="G27" i="15"/>
  <c r="F27" i="15"/>
  <c r="M25" i="15"/>
  <c r="P22" i="15"/>
  <c r="P21" i="15"/>
  <c r="P20" i="15"/>
  <c r="P19" i="15"/>
  <c r="S17" i="15"/>
  <c r="S16" i="15"/>
  <c r="I15" i="15"/>
  <c r="I14" i="15"/>
  <c r="I13" i="15"/>
  <c r="I27" i="15" s="1"/>
  <c r="I12" i="15"/>
  <c r="M11" i="15"/>
  <c r="M10" i="15"/>
  <c r="M8" i="15"/>
  <c r="M6" i="15"/>
  <c r="M5" i="15"/>
  <c r="K127" i="15" l="1"/>
  <c r="M127" i="15" s="1"/>
  <c r="I97" i="15"/>
  <c r="M125" i="15"/>
  <c r="I108" i="15"/>
  <c r="Q98" i="15"/>
  <c r="F98" i="15"/>
  <c r="N98" i="15"/>
  <c r="S27" i="15"/>
  <c r="G98" i="15"/>
  <c r="G109" i="15"/>
  <c r="I102" i="15"/>
  <c r="I64" i="15"/>
  <c r="I98" i="15" s="1"/>
  <c r="I107" i="15"/>
  <c r="P27" i="15"/>
  <c r="J98" i="15"/>
  <c r="J109" i="15"/>
  <c r="M27" i="15"/>
  <c r="M98" i="15" s="1"/>
  <c r="H130" i="15" s="1"/>
  <c r="P97" i="15"/>
  <c r="I109" i="15"/>
  <c r="P64" i="15"/>
  <c r="S64" i="15"/>
  <c r="S98" i="15" l="1"/>
  <c r="P98" i="15"/>
  <c r="K130" i="15" s="1"/>
  <c r="M130" i="15" l="1"/>
  <c r="K131" i="15"/>
  <c r="M131" i="15" l="1"/>
  <c r="M132" i="15" s="1"/>
  <c r="K132" i="15"/>
</calcChain>
</file>

<file path=xl/sharedStrings.xml><?xml version="1.0" encoding="utf-8"?>
<sst xmlns="http://schemas.openxmlformats.org/spreadsheetml/2006/main" count="499" uniqueCount="148">
  <si>
    <t>101/3</t>
  </si>
  <si>
    <t>pokój przyjęć interesantów</t>
  </si>
  <si>
    <t>serwerownia</t>
  </si>
  <si>
    <t>monitoring</t>
  </si>
  <si>
    <t>biuro - sztab</t>
  </si>
  <si>
    <t>biuro - naczelnik</t>
  </si>
  <si>
    <t>biuro - sekretariat</t>
  </si>
  <si>
    <t>sala narad</t>
  </si>
  <si>
    <t>132/1</t>
  </si>
  <si>
    <t>pom. Socjalne</t>
  </si>
  <si>
    <t>biuro</t>
  </si>
  <si>
    <t xml:space="preserve">biuro - informatyka </t>
  </si>
  <si>
    <t>biuro / pom. techniczne</t>
  </si>
  <si>
    <t>poczta</t>
  </si>
  <si>
    <t>daktyloskopia</t>
  </si>
  <si>
    <t>305/1</t>
  </si>
  <si>
    <t>naczelnik</t>
  </si>
  <si>
    <t xml:space="preserve">sekretariat </t>
  </si>
  <si>
    <t>naczelnik z-ca</t>
  </si>
  <si>
    <t xml:space="preserve">biuro </t>
  </si>
  <si>
    <t>biuro - pokój okazań</t>
  </si>
  <si>
    <t>biuro- pokój przesł. Nielet.</t>
  </si>
  <si>
    <t>pom. gospod.</t>
  </si>
  <si>
    <t xml:space="preserve">pom. Pomoc. </t>
  </si>
  <si>
    <t xml:space="preserve">sekret. KOMEND. </t>
  </si>
  <si>
    <t>gabinet  Z-Cy  K.</t>
  </si>
  <si>
    <t xml:space="preserve">gabinet KOM. </t>
  </si>
  <si>
    <t>archiwum -biuro</t>
  </si>
  <si>
    <t>126/1</t>
  </si>
  <si>
    <t>126/2</t>
  </si>
  <si>
    <t>11A</t>
  </si>
  <si>
    <t xml:space="preserve">Przeznaczenie pomieszczenia </t>
  </si>
  <si>
    <t>nowy nr
 pokoju</t>
  </si>
  <si>
    <t>Nr pom.
wg projektu</t>
  </si>
  <si>
    <t>ilość okien</t>
  </si>
  <si>
    <t>0,8x1,44</t>
  </si>
  <si>
    <t>Powierzchnia</t>
  </si>
  <si>
    <t>Długość szyny</t>
  </si>
  <si>
    <t>0,8x1,44
(0,46)</t>
  </si>
  <si>
    <t>0,8x1,44 
(0,46)</t>
  </si>
  <si>
    <t>2,40x1,65</t>
  </si>
  <si>
    <t>1,20x1,70</t>
  </si>
  <si>
    <t>Uwagi:</t>
  </si>
  <si>
    <t>2,00x1,44</t>
  </si>
  <si>
    <t>2,30x1,90</t>
  </si>
  <si>
    <t>roleta zaciemniająca</t>
  </si>
  <si>
    <t>1,40x1,44
0,80*1,44
(0,52)</t>
  </si>
  <si>
    <t>1,44x1,44
0,89x1,44
0,87x1,44
1,46x1,44
(0,48 ; 0,47; 0,57)</t>
  </si>
  <si>
    <t>wymiar 
okna</t>
  </si>
  <si>
    <t>Powierz- 
chnia</t>
  </si>
  <si>
    <t>2,30x2,14</t>
  </si>
  <si>
    <t>Piętro I</t>
  </si>
  <si>
    <t>Piętro II</t>
  </si>
  <si>
    <t>Parter</t>
  </si>
  <si>
    <t>RAZEM:</t>
  </si>
  <si>
    <t>XX</t>
  </si>
  <si>
    <t>2,90x1,90</t>
  </si>
  <si>
    <t>OGÓŁEM:</t>
  </si>
  <si>
    <t>ilość żaluzji</t>
  </si>
  <si>
    <t>1,70x1,90</t>
  </si>
  <si>
    <t>3,10x1,90</t>
  </si>
  <si>
    <t>0,8x1,44 (0,46)</t>
  </si>
  <si>
    <t>Verticale</t>
  </si>
  <si>
    <t>Rolety zaciemniające</t>
  </si>
  <si>
    <t>ilość</t>
  </si>
  <si>
    <t>szer./wys.</t>
  </si>
  <si>
    <t>szer./wys. wświetle ościeżnic</t>
  </si>
  <si>
    <t>0,80/1,44</t>
  </si>
  <si>
    <t>żaluzje poziome
białe (jak u dyżurnych)</t>
  </si>
  <si>
    <t>0,50 x 1,44</t>
  </si>
  <si>
    <t>2,40/1,65</t>
  </si>
  <si>
    <t>na skrzydle</t>
  </si>
  <si>
    <t>na ścianie</t>
  </si>
  <si>
    <t>sufit, 2-str.</t>
  </si>
  <si>
    <t>w ościeżu</t>
  </si>
  <si>
    <t>1-str. na ścianie</t>
  </si>
  <si>
    <t>1,40x1,44
0,80 x 1,44</t>
  </si>
  <si>
    <t>2,20/1,65</t>
  </si>
  <si>
    <t>0,65/1,44</t>
  </si>
  <si>
    <t>na skrzydłach</t>
  </si>
  <si>
    <t>X</t>
  </si>
  <si>
    <t>1,46x1,44</t>
  </si>
  <si>
    <t xml:space="preserve"> x </t>
  </si>
  <si>
    <t xml:space="preserve"> X</t>
  </si>
  <si>
    <t>1,70*1,70</t>
  </si>
  <si>
    <t>1.1. Żaluzje o długości szyny 2,3 m:</t>
  </si>
  <si>
    <t>1.2. Żaluzje o długości szyny 1,2 m:</t>
  </si>
  <si>
    <t>1.3. Żaluzje o długości szyny 1,7 m:</t>
  </si>
  <si>
    <t>1.4. Żaluzje o długości szyny 2,9 m:</t>
  </si>
  <si>
    <t>1.5. Żaluzje o długości szyny 3,10 m:</t>
  </si>
  <si>
    <t>3) Żaluzje/rolety obijające promienie  słoneczne</t>
  </si>
  <si>
    <t>3.1. poziome szer. 5 cm zamontowane w ościeżu okna</t>
  </si>
  <si>
    <t>3.2. poziome  zamontowane na skrzydłach okna</t>
  </si>
  <si>
    <t>4)  Rolety całkowicie zaciemniające pomieszczenie montawane na ścianie</t>
  </si>
  <si>
    <t>4.1.  o długości rolki 2,20 -2,30 m</t>
  </si>
  <si>
    <t>2,30/1,65</t>
  </si>
  <si>
    <t>1,05/1,65</t>
  </si>
  <si>
    <t>4.2.  o długości rolki 1,05 m</t>
  </si>
  <si>
    <t>2,20-2,30
/1,65</t>
  </si>
  <si>
    <t>1) Szyna</t>
  </si>
  <si>
    <t>Wartość 
netto</t>
  </si>
  <si>
    <t>Wartość
 brutto</t>
  </si>
  <si>
    <t>2) Tkanina</t>
  </si>
  <si>
    <t xml:space="preserve">ilość </t>
  </si>
  <si>
    <t>cena jedn.</t>
  </si>
  <si>
    <t xml:space="preserve">3) Robocizna </t>
  </si>
  <si>
    <t>Razem:</t>
  </si>
  <si>
    <t>1) Zaluzje /rolety</t>
  </si>
  <si>
    <t>SZACUNKOWY WARTOŚĆ ZAMÓWIENIA:</t>
  </si>
  <si>
    <t>cena
 jedn.</t>
  </si>
  <si>
    <t>I. VERTICALE:</t>
  </si>
  <si>
    <t>II. Rolety/ żaluzje</t>
  </si>
  <si>
    <t>ŁĄCZNIE I+II:</t>
  </si>
  <si>
    <t>j.m.</t>
  </si>
  <si>
    <t>szt</t>
  </si>
  <si>
    <t>m2</t>
  </si>
  <si>
    <t>szatnia</t>
  </si>
  <si>
    <t>1,46 x 1,20</t>
  </si>
  <si>
    <t>0,56 x 1,20</t>
  </si>
  <si>
    <t>0,73/1,20</t>
  </si>
  <si>
    <t>0,56/1,20</t>
  </si>
  <si>
    <t>024</t>
  </si>
  <si>
    <t>Piwnica</t>
  </si>
  <si>
    <t>ZESTAWIENIE ILOŚCIOWE PRZESŁON OKIEN W KMP W ŁOMŻY</t>
  </si>
  <si>
    <t>2,30/1,90</t>
  </si>
  <si>
    <t>2,30/2,14</t>
  </si>
  <si>
    <t>Ilość
(szt)</t>
  </si>
  <si>
    <t>Powierzchnia
(m2)</t>
  </si>
  <si>
    <t>łącznie:</t>
  </si>
  <si>
    <t>1,20/1,70</t>
  </si>
  <si>
    <t>1,70/1,70</t>
  </si>
  <si>
    <t>1,70/1,90</t>
  </si>
  <si>
    <t>2,90/1,90</t>
  </si>
  <si>
    <t>3,10/1,90</t>
  </si>
  <si>
    <t xml:space="preserve"> XX</t>
  </si>
  <si>
    <t>2) Żaluzje poziome aluminiowe białe na skrzydłach okiennych</t>
  </si>
  <si>
    <t>1) Verticale 
/z podziałem z uwagi na długość szyny/</t>
  </si>
  <si>
    <t>RODZAJ PRZESŁONY</t>
  </si>
  <si>
    <t>szer./wys.
(m/m)</t>
  </si>
  <si>
    <t>Długość 
szyny (m)</t>
  </si>
  <si>
    <t>wymiar żaluzji</t>
  </si>
  <si>
    <t xml:space="preserve"> żaluzje poziome srebrne lakierowane</t>
  </si>
  <si>
    <t>3) Żaluzje poziome aluminiowe srebrne lakierowane</t>
  </si>
  <si>
    <t>4)  Rolety całkowicie zaciemniające pomieszczenie montawane na ścianie ( materiał zaciemniający w 100%)</t>
  </si>
  <si>
    <t>3.1. poziome lamele szer. 50 mm zamontowane w ościeżu okna</t>
  </si>
  <si>
    <t>2) Żaluzje poziome aluminiowe białe montowane we wnęce szybowej skrzydeł okiennych  szer. 25 mm</t>
  </si>
  <si>
    <t>3.2. poziome  lamele szer. 25 mm zamontowane we wnęce szybowej skrzydeł okiennych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</si>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</sst>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4" fontId="0" fillId="0" borderId="1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5" fillId="2" borderId="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" xfId="0" applyBorder="1" applyAlignment="1"/>
    <xf numFmtId="0" fontId="0" fillId="0" borderId="0" xfId="0" applyAlignment="1"/>
    <xf numFmtId="4" fontId="0" fillId="0" borderId="1" xfId="0" applyNumberFormat="1" applyBorder="1"/>
    <xf numFmtId="1" fontId="6" fillId="0" borderId="28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textRotation="90" wrapText="1"/>
    </xf>
    <xf numFmtId="0" fontId="0" fillId="0" borderId="52" xfId="0" applyFill="1" applyBorder="1" applyAlignment="1">
      <alignment horizontal="center" textRotation="90" wrapText="1"/>
    </xf>
    <xf numFmtId="0" fontId="0" fillId="0" borderId="53" xfId="0" applyFill="1" applyBorder="1" applyAlignment="1">
      <alignment textRotation="90" wrapText="1"/>
    </xf>
    <xf numFmtId="0" fontId="0" fillId="0" borderId="53" xfId="0" applyFill="1" applyBorder="1" applyAlignment="1">
      <alignment horizontal="center" textRotation="90" wrapText="1"/>
    </xf>
    <xf numFmtId="0" fontId="6" fillId="0" borderId="49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5" xfId="0" applyFont="1" applyFill="1" applyBorder="1" applyAlignment="1">
      <alignment horizontal="left" wrapText="1"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0" fillId="0" borderId="18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1" fontId="0" fillId="0" borderId="18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" fontId="0" fillId="0" borderId="14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1" fontId="0" fillId="0" borderId="27" xfId="0" applyNumberForma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" fontId="0" fillId="0" borderId="23" xfId="0" applyNumberForma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" fontId="0" fillId="0" borderId="21" xfId="0" applyNumberFormat="1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 wrapText="1"/>
    </xf>
    <xf numFmtId="4" fontId="0" fillId="0" borderId="25" xfId="0" applyNumberFormat="1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 wrapText="1"/>
    </xf>
    <xf numFmtId="4" fontId="0" fillId="0" borderId="8" xfId="0" applyNumberFormat="1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 wrapText="1"/>
    </xf>
    <xf numFmtId="3" fontId="0" fillId="0" borderId="27" xfId="0" applyNumberFormat="1" applyFill="1" applyBorder="1" applyAlignment="1">
      <alignment vertical="center" wrapText="1"/>
    </xf>
    <xf numFmtId="3" fontId="0" fillId="0" borderId="28" xfId="0" applyNumberForma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4" fontId="6" fillId="0" borderId="25" xfId="0" applyNumberFormat="1" applyFont="1" applyFill="1" applyBorder="1" applyAlignment="1">
      <alignment vertical="center" wrapText="1"/>
    </xf>
    <xf numFmtId="1" fontId="0" fillId="0" borderId="24" xfId="0" applyNumberFormat="1" applyFill="1" applyBorder="1" applyAlignment="1">
      <alignment vertical="center" wrapText="1"/>
    </xf>
    <xf numFmtId="1" fontId="0" fillId="0" borderId="5" xfId="0" applyNumberFormat="1" applyFill="1" applyBorder="1" applyAlignment="1">
      <alignment vertical="center" wrapText="1"/>
    </xf>
    <xf numFmtId="1" fontId="0" fillId="0" borderId="30" xfId="0" applyNumberForma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 wrapText="1"/>
    </xf>
    <xf numFmtId="1" fontId="0" fillId="0" borderId="14" xfId="0" applyNumberFormat="1" applyFill="1" applyBorder="1" applyAlignment="1">
      <alignment horizontal="right" vertical="center" wrapText="1"/>
    </xf>
    <xf numFmtId="1" fontId="6" fillId="0" borderId="27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vertical="center" wrapText="1"/>
    </xf>
    <xf numFmtId="2" fontId="0" fillId="0" borderId="29" xfId="0" applyNumberFormat="1" applyFill="1" applyBorder="1" applyAlignment="1">
      <alignment vertical="center" wrapText="1"/>
    </xf>
    <xf numFmtId="2" fontId="0" fillId="0" borderId="3" xfId="0" applyNumberFormat="1" applyFill="1" applyBorder="1" applyAlignment="1">
      <alignment vertical="center" wrapText="1"/>
    </xf>
    <xf numFmtId="2" fontId="0" fillId="0" borderId="17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 wrapText="1"/>
    </xf>
    <xf numFmtId="2" fontId="0" fillId="0" borderId="16" xfId="0" applyNumberFormat="1" applyFill="1" applyBorder="1" applyAlignment="1">
      <alignment vertical="center" wrapText="1"/>
    </xf>
    <xf numFmtId="2" fontId="6" fillId="0" borderId="55" xfId="0" applyNumberFormat="1" applyFont="1" applyFill="1" applyBorder="1" applyAlignment="1">
      <alignment vertical="center" wrapText="1"/>
    </xf>
    <xf numFmtId="2" fontId="6" fillId="0" borderId="39" xfId="0" applyNumberFormat="1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 wrapText="1"/>
    </xf>
    <xf numFmtId="2" fontId="6" fillId="0" borderId="29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textRotation="90" wrapText="1"/>
    </xf>
    <xf numFmtId="0" fontId="9" fillId="0" borderId="14" xfId="0" applyFont="1" applyBorder="1" applyAlignment="1">
      <alignment horizontal="left" vertical="center" textRotation="90" wrapText="1"/>
    </xf>
    <xf numFmtId="0" fontId="9" fillId="0" borderId="1" xfId="0" applyFont="1" applyFill="1" applyBorder="1" applyAlignment="1">
      <alignment horizontal="left" vertical="center" textRotation="90" wrapText="1"/>
    </xf>
    <xf numFmtId="0" fontId="9" fillId="0" borderId="15" xfId="0" applyFont="1" applyFill="1" applyBorder="1" applyAlignment="1">
      <alignment horizontal="left" vertical="center" textRotation="90" wrapText="1"/>
    </xf>
    <xf numFmtId="0" fontId="9" fillId="0" borderId="14" xfId="0" applyFont="1" applyFill="1" applyBorder="1" applyAlignment="1">
      <alignment horizontal="left" vertical="center" textRotation="90" wrapText="1"/>
    </xf>
    <xf numFmtId="0" fontId="9" fillId="0" borderId="5" xfId="0" applyFont="1" applyFill="1" applyBorder="1" applyAlignment="1">
      <alignment horizontal="left" vertical="center" textRotation="90" wrapText="1"/>
    </xf>
    <xf numFmtId="0" fontId="9" fillId="0" borderId="4" xfId="0" applyFont="1" applyFill="1" applyBorder="1" applyAlignment="1">
      <alignment horizontal="left" vertical="center" textRotation="90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" fontId="9" fillId="4" borderId="14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4" borderId="1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left" vertical="center" wrapText="1"/>
    </xf>
    <xf numFmtId="1" fontId="9" fillId="2" borderId="6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1" fontId="9" fillId="0" borderId="14" xfId="0" applyNumberFormat="1" applyFont="1" applyFill="1" applyBorder="1" applyAlignment="1">
      <alignment wrapText="1"/>
    </xf>
    <xf numFmtId="1" fontId="9" fillId="0" borderId="5" xfId="0" applyNumberFormat="1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1" fontId="9" fillId="0" borderId="14" xfId="0" applyNumberFormat="1" applyFont="1" applyFill="1" applyBorder="1" applyAlignment="1">
      <alignment vertical="top" wrapText="1"/>
    </xf>
    <xf numFmtId="1" fontId="9" fillId="0" borderId="5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1" fontId="9" fillId="3" borderId="6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left" vertical="center" wrapText="1"/>
    </xf>
    <xf numFmtId="2" fontId="5" fillId="2" borderId="13" xfId="0" applyNumberFormat="1" applyFont="1" applyFill="1" applyBorder="1" applyAlignment="1">
      <alignment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9" fillId="2" borderId="13" xfId="0" applyNumberFormat="1" applyFont="1" applyFill="1" applyBorder="1" applyAlignment="1">
      <alignment horizontal="left" vertical="center" wrapText="1"/>
    </xf>
    <xf numFmtId="2" fontId="9" fillId="0" borderId="15" xfId="0" applyNumberFormat="1" applyFont="1" applyFill="1" applyBorder="1" applyAlignment="1">
      <alignment wrapText="1"/>
    </xf>
    <xf numFmtId="2" fontId="9" fillId="0" borderId="15" xfId="0" applyNumberFormat="1" applyFont="1" applyFill="1" applyBorder="1" applyAlignment="1">
      <alignment vertical="top" wrapText="1"/>
    </xf>
    <xf numFmtId="2" fontId="11" fillId="0" borderId="15" xfId="0" applyNumberFormat="1" applyFont="1" applyFill="1" applyBorder="1" applyAlignment="1">
      <alignment wrapText="1"/>
    </xf>
    <xf numFmtId="2" fontId="9" fillId="3" borderId="13" xfId="0" applyNumberFormat="1" applyFont="1" applyFill="1" applyBorder="1" applyAlignment="1">
      <alignment wrapText="1"/>
    </xf>
    <xf numFmtId="2" fontId="9" fillId="2" borderId="6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3" fillId="0" borderId="5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9" fillId="0" borderId="59" xfId="0" applyFont="1" applyBorder="1" applyAlignment="1">
      <alignment horizontal="left" vertical="center" textRotation="90" wrapText="1"/>
    </xf>
    <xf numFmtId="0" fontId="9" fillId="0" borderId="48" xfId="0" applyFont="1" applyBorder="1" applyAlignment="1">
      <alignment horizontal="left" vertical="center" textRotation="90" wrapText="1"/>
    </xf>
    <xf numFmtId="0" fontId="9" fillId="0" borderId="48" xfId="0" applyFont="1" applyFill="1" applyBorder="1" applyAlignment="1">
      <alignment horizontal="left" vertical="center" wrapText="1"/>
    </xf>
    <xf numFmtId="0" fontId="9" fillId="4" borderId="48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center" wrapText="1"/>
    </xf>
    <xf numFmtId="2" fontId="8" fillId="0" borderId="53" xfId="0" applyNumberFormat="1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2" fontId="8" fillId="0" borderId="55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vertical="center" wrapText="1"/>
    </xf>
    <xf numFmtId="0" fontId="9" fillId="3" borderId="48" xfId="0" applyFont="1" applyFill="1" applyBorder="1" applyAlignment="1">
      <alignment wrapText="1"/>
    </xf>
    <xf numFmtId="0" fontId="12" fillId="0" borderId="6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horizontal="center" textRotation="90" wrapText="1"/>
    </xf>
    <xf numFmtId="0" fontId="14" fillId="0" borderId="53" xfId="0" applyFont="1" applyFill="1" applyBorder="1" applyAlignment="1">
      <alignment textRotation="90" wrapText="1"/>
    </xf>
    <xf numFmtId="0" fontId="14" fillId="0" borderId="53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textRotation="90" wrapText="1"/>
    </xf>
    <xf numFmtId="0" fontId="14" fillId="0" borderId="33" xfId="0" applyFont="1" applyFill="1" applyBorder="1" applyAlignment="1">
      <alignment horizontal="center" textRotation="90" wrapText="1"/>
    </xf>
    <xf numFmtId="0" fontId="14" fillId="0" borderId="18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2" fontId="14" fillId="0" borderId="3" xfId="0" applyNumberFormat="1" applyFont="1" applyFill="1" applyBorder="1" applyAlignment="1">
      <alignment vertical="center" wrapText="1"/>
    </xf>
    <xf numFmtId="2" fontId="14" fillId="0" borderId="17" xfId="0" applyNumberFormat="1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1" fontId="14" fillId="0" borderId="18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 wrapText="1"/>
    </xf>
    <xf numFmtId="2" fontId="14" fillId="0" borderId="15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1" fontId="14" fillId="0" borderId="14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vertical="center" wrapText="1"/>
    </xf>
    <xf numFmtId="2" fontId="14" fillId="0" borderId="16" xfId="0" applyNumberFormat="1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horizontal="center" vertical="center" wrapText="1"/>
    </xf>
    <xf numFmtId="2" fontId="13" fillId="0" borderId="55" xfId="0" applyNumberFormat="1" applyFont="1" applyFill="1" applyBorder="1" applyAlignment="1">
      <alignment vertical="center" wrapText="1"/>
    </xf>
    <xf numFmtId="2" fontId="13" fillId="0" borderId="39" xfId="0" applyNumberFormat="1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1" fontId="14" fillId="0" borderId="27" xfId="0" applyNumberFormat="1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4" fontId="14" fillId="0" borderId="19" xfId="0" applyNumberFormat="1" applyFont="1" applyFill="1" applyBorder="1" applyAlignment="1">
      <alignment vertical="center" wrapText="1"/>
    </xf>
    <xf numFmtId="2" fontId="14" fillId="0" borderId="23" xfId="0" applyNumberFormat="1" applyFont="1" applyFill="1" applyBorder="1" applyAlignment="1">
      <alignment vertical="center" wrapText="1"/>
    </xf>
    <xf numFmtId="1" fontId="14" fillId="0" borderId="24" xfId="0" applyNumberFormat="1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vertical="center" wrapText="1"/>
    </xf>
    <xf numFmtId="1" fontId="14" fillId="0" borderId="14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right" vertical="center" wrapText="1"/>
    </xf>
    <xf numFmtId="1" fontId="14" fillId="0" borderId="5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4" fontId="13" fillId="0" borderId="25" xfId="0" applyNumberFormat="1" applyFont="1" applyFill="1" applyBorder="1" applyAlignment="1">
      <alignment vertical="center" wrapText="1"/>
    </xf>
    <xf numFmtId="1" fontId="13" fillId="0" borderId="27" xfId="0" applyNumberFormat="1" applyFont="1" applyFill="1" applyBorder="1" applyAlignment="1">
      <alignment horizontal="right" vertical="center" wrapText="1"/>
    </xf>
    <xf numFmtId="1" fontId="13" fillId="0" borderId="28" xfId="0" applyNumberFormat="1" applyFont="1" applyFill="1" applyBorder="1" applyAlignment="1">
      <alignment horizontal="right" vertical="center" wrapText="1"/>
    </xf>
    <xf numFmtId="2" fontId="13" fillId="0" borderId="29" xfId="0" applyNumberFormat="1" applyFont="1" applyFill="1" applyBorder="1" applyAlignment="1">
      <alignment horizontal="right" vertical="center" wrapText="1"/>
    </xf>
    <xf numFmtId="1" fontId="14" fillId="0" borderId="30" xfId="0" applyNumberFormat="1" applyFont="1" applyFill="1" applyBorder="1" applyAlignment="1">
      <alignment vertical="center" wrapText="1"/>
    </xf>
    <xf numFmtId="4" fontId="14" fillId="0" borderId="23" xfId="0" applyNumberFormat="1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1" fontId="14" fillId="0" borderId="21" xfId="0" applyNumberFormat="1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vertical="center" wrapText="1"/>
    </xf>
    <xf numFmtId="4" fontId="14" fillId="0" borderId="29" xfId="0" applyNumberFormat="1" applyFont="1" applyFill="1" applyBorder="1" applyAlignment="1">
      <alignment vertical="center" wrapText="1"/>
    </xf>
    <xf numFmtId="4" fontId="14" fillId="0" borderId="30" xfId="0" applyNumberFormat="1" applyFont="1" applyFill="1" applyBorder="1" applyAlignment="1">
      <alignment vertical="center" wrapText="1"/>
    </xf>
    <xf numFmtId="4" fontId="14" fillId="0" borderId="28" xfId="0" applyNumberFormat="1" applyFont="1" applyFill="1" applyBorder="1" applyAlignment="1">
      <alignment vertical="center" wrapText="1"/>
    </xf>
    <xf numFmtId="4" fontId="14" fillId="0" borderId="25" xfId="0" applyNumberFormat="1" applyFont="1" applyFill="1" applyBorder="1" applyAlignment="1">
      <alignment vertical="center" wrapText="1"/>
    </xf>
    <xf numFmtId="2" fontId="14" fillId="0" borderId="29" xfId="0" applyNumberFormat="1" applyFont="1" applyFill="1" applyBorder="1" applyAlignment="1">
      <alignment vertical="center" wrapText="1"/>
    </xf>
    <xf numFmtId="4" fontId="14" fillId="0" borderId="27" xfId="0" applyNumberFormat="1" applyFont="1" applyFill="1" applyBorder="1" applyAlignment="1">
      <alignment vertical="center" wrapText="1"/>
    </xf>
    <xf numFmtId="4" fontId="14" fillId="0" borderId="17" xfId="0" applyNumberFormat="1" applyFont="1" applyFill="1" applyBorder="1" applyAlignment="1">
      <alignment vertical="center" wrapText="1"/>
    </xf>
    <xf numFmtId="4" fontId="14" fillId="0" borderId="8" xfId="0" applyNumberFormat="1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18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vertical="center" wrapText="1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28" xfId="0" applyNumberFormat="1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6" fillId="0" borderId="38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0" fillId="0" borderId="4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3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horizontal="righ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zoomScaleNormal="10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X15" sqref="X15"/>
    </sheetView>
  </sheetViews>
  <sheetFormatPr defaultRowHeight="15" x14ac:dyDescent="0.25"/>
  <cols>
    <col min="1" max="1" width="1.28515625" customWidth="1"/>
    <col min="2" max="2" width="6.7109375" customWidth="1"/>
    <col min="3" max="3" width="16.140625" customWidth="1"/>
    <col min="4" max="4" width="6" customWidth="1"/>
    <col min="5" max="5" width="5.85546875" customWidth="1"/>
    <col min="6" max="6" width="3.28515625" hidden="1" customWidth="1"/>
    <col min="7" max="7" width="5.5703125" customWidth="1"/>
    <col min="8" max="8" width="8.140625" customWidth="1"/>
    <col min="9" max="9" width="6.28515625" customWidth="1"/>
    <col min="10" max="10" width="8.28515625" customWidth="1"/>
    <col min="11" max="11" width="5.85546875" customWidth="1"/>
    <col min="12" max="12" width="10.28515625" customWidth="1"/>
    <col min="13" max="13" width="8.85546875" customWidth="1"/>
    <col min="14" max="14" width="4.7109375" customWidth="1"/>
    <col min="15" max="15" width="9.28515625" customWidth="1"/>
    <col min="16" max="16" width="5.42578125" customWidth="1"/>
    <col min="17" max="17" width="4.5703125" customWidth="1"/>
    <col min="18" max="18" width="9.5703125" customWidth="1"/>
    <col min="19" max="19" width="6.42578125" customWidth="1"/>
    <col min="20" max="20" width="11.5703125" customWidth="1"/>
  </cols>
  <sheetData>
    <row r="1" spans="1:21" s="2" customFormat="1" ht="31.5" customHeight="1" thickBot="1" x14ac:dyDescent="0.3">
      <c r="A1" s="1"/>
      <c r="B1" s="89"/>
      <c r="C1" s="335" t="s">
        <v>123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1:21" ht="63.75" customHeight="1" thickTop="1" x14ac:dyDescent="0.25">
      <c r="A2" s="198"/>
      <c r="B2" s="285" t="s">
        <v>33</v>
      </c>
      <c r="C2" s="287" t="s">
        <v>31</v>
      </c>
      <c r="D2" s="289" t="s">
        <v>32</v>
      </c>
      <c r="E2" s="289" t="s">
        <v>34</v>
      </c>
      <c r="F2" s="291" t="s">
        <v>48</v>
      </c>
      <c r="G2" s="360" t="s">
        <v>62</v>
      </c>
      <c r="H2" s="361"/>
      <c r="I2" s="361"/>
      <c r="J2" s="362"/>
      <c r="K2" s="360" t="s">
        <v>68</v>
      </c>
      <c r="L2" s="361"/>
      <c r="M2" s="362"/>
      <c r="N2" s="361" t="s">
        <v>141</v>
      </c>
      <c r="O2" s="361"/>
      <c r="P2" s="361"/>
      <c r="Q2" s="360" t="s">
        <v>63</v>
      </c>
      <c r="R2" s="361"/>
      <c r="S2" s="362"/>
      <c r="T2" s="175" t="s">
        <v>42</v>
      </c>
    </row>
    <row r="3" spans="1:21" ht="55.5" customHeight="1" x14ac:dyDescent="0.25">
      <c r="A3" s="198"/>
      <c r="B3" s="286"/>
      <c r="C3" s="288"/>
      <c r="D3" s="290"/>
      <c r="E3" s="290"/>
      <c r="F3" s="292"/>
      <c r="G3" s="103" t="s">
        <v>58</v>
      </c>
      <c r="H3" s="102" t="s">
        <v>140</v>
      </c>
      <c r="I3" s="104" t="s">
        <v>49</v>
      </c>
      <c r="J3" s="105" t="s">
        <v>37</v>
      </c>
      <c r="K3" s="106" t="s">
        <v>64</v>
      </c>
      <c r="L3" s="104" t="s">
        <v>66</v>
      </c>
      <c r="M3" s="105" t="s">
        <v>36</v>
      </c>
      <c r="N3" s="107" t="s">
        <v>64</v>
      </c>
      <c r="O3" s="104" t="s">
        <v>65</v>
      </c>
      <c r="P3" s="108" t="s">
        <v>36</v>
      </c>
      <c r="Q3" s="106" t="s">
        <v>64</v>
      </c>
      <c r="R3" s="104" t="s">
        <v>65</v>
      </c>
      <c r="S3" s="105" t="s">
        <v>36</v>
      </c>
      <c r="T3" s="176"/>
    </row>
    <row r="4" spans="1:21" ht="12.95" customHeight="1" x14ac:dyDescent="0.25">
      <c r="A4" s="198"/>
      <c r="B4" s="202"/>
      <c r="C4" s="336" t="s">
        <v>122</v>
      </c>
      <c r="D4" s="337"/>
      <c r="E4" s="337"/>
      <c r="F4" s="6"/>
      <c r="G4" s="7"/>
      <c r="H4" s="6"/>
      <c r="I4" s="6"/>
      <c r="J4" s="8"/>
      <c r="K4" s="7"/>
      <c r="L4" s="6"/>
      <c r="M4" s="8"/>
      <c r="N4" s="6"/>
      <c r="O4" s="6"/>
      <c r="P4" s="6"/>
      <c r="Q4" s="7"/>
      <c r="R4" s="6"/>
      <c r="S4" s="8"/>
      <c r="T4" s="176"/>
    </row>
    <row r="5" spans="1:21" s="3" customFormat="1" ht="12.95" customHeight="1" x14ac:dyDescent="0.25">
      <c r="A5" s="199"/>
      <c r="B5" s="203" t="s">
        <v>0</v>
      </c>
      <c r="C5" s="293" t="s">
        <v>116</v>
      </c>
      <c r="D5" s="295" t="s">
        <v>121</v>
      </c>
      <c r="E5" s="109">
        <v>3</v>
      </c>
      <c r="F5" s="110" t="s">
        <v>117</v>
      </c>
      <c r="G5" s="111"/>
      <c r="H5" s="112"/>
      <c r="I5" s="113"/>
      <c r="J5" s="114"/>
      <c r="K5" s="115">
        <v>6</v>
      </c>
      <c r="L5" s="113" t="s">
        <v>119</v>
      </c>
      <c r="M5" s="159">
        <f>0.73*1.2*K5</f>
        <v>5.2560000000000002</v>
      </c>
      <c r="N5" s="116"/>
      <c r="O5" s="113"/>
      <c r="P5" s="117"/>
      <c r="Q5" s="115"/>
      <c r="R5" s="113"/>
      <c r="S5" s="159"/>
      <c r="T5" s="177" t="s">
        <v>71</v>
      </c>
    </row>
    <row r="6" spans="1:21" s="3" customFormat="1" ht="12.95" customHeight="1" x14ac:dyDescent="0.25">
      <c r="A6" s="199"/>
      <c r="B6" s="203">
        <v>106</v>
      </c>
      <c r="C6" s="294"/>
      <c r="D6" s="296"/>
      <c r="E6" s="109">
        <v>3</v>
      </c>
      <c r="F6" s="110" t="s">
        <v>118</v>
      </c>
      <c r="G6" s="111"/>
      <c r="H6" s="112"/>
      <c r="I6" s="113"/>
      <c r="J6" s="114"/>
      <c r="K6" s="115">
        <v>3</v>
      </c>
      <c r="L6" s="113" t="s">
        <v>120</v>
      </c>
      <c r="M6" s="159">
        <f>0.56*1.2*K6</f>
        <v>2.016</v>
      </c>
      <c r="N6" s="116"/>
      <c r="O6" s="113"/>
      <c r="P6" s="117"/>
      <c r="Q6" s="115"/>
      <c r="R6" s="113"/>
      <c r="S6" s="159"/>
      <c r="T6" s="177" t="s">
        <v>71</v>
      </c>
    </row>
    <row r="7" spans="1:21" ht="12.95" customHeight="1" x14ac:dyDescent="0.25">
      <c r="A7" s="198"/>
      <c r="B7" s="202"/>
      <c r="C7" s="336" t="s">
        <v>53</v>
      </c>
      <c r="D7" s="337"/>
      <c r="E7" s="337"/>
      <c r="F7" s="6"/>
      <c r="G7" s="7"/>
      <c r="H7" s="6"/>
      <c r="I7" s="6"/>
      <c r="J7" s="8"/>
      <c r="K7" s="7"/>
      <c r="L7" s="6"/>
      <c r="M7" s="160"/>
      <c r="N7" s="6"/>
      <c r="O7" s="6"/>
      <c r="P7" s="6"/>
      <c r="Q7" s="7"/>
      <c r="R7" s="6"/>
      <c r="S7" s="160"/>
      <c r="T7" s="176"/>
    </row>
    <row r="8" spans="1:21" s="3" customFormat="1" ht="21" customHeight="1" x14ac:dyDescent="0.25">
      <c r="A8" s="199"/>
      <c r="B8" s="203" t="s">
        <v>0</v>
      </c>
      <c r="C8" s="171" t="s">
        <v>1</v>
      </c>
      <c r="D8" s="101">
        <v>31</v>
      </c>
      <c r="E8" s="109">
        <v>2</v>
      </c>
      <c r="F8" s="110" t="s">
        <v>61</v>
      </c>
      <c r="G8" s="111"/>
      <c r="H8" s="112"/>
      <c r="I8" s="113"/>
      <c r="J8" s="114"/>
      <c r="K8" s="115">
        <v>2</v>
      </c>
      <c r="L8" s="113" t="s">
        <v>67</v>
      </c>
      <c r="M8" s="159">
        <f>0.8*1.44*K8</f>
        <v>2.3039999999999998</v>
      </c>
      <c r="N8" s="116"/>
      <c r="O8" s="113"/>
      <c r="P8" s="117"/>
      <c r="Q8" s="115"/>
      <c r="R8" s="113"/>
      <c r="S8" s="159"/>
      <c r="T8" s="177" t="s">
        <v>71</v>
      </c>
    </row>
    <row r="9" spans="1:21" s="3" customFormat="1" ht="12.95" customHeight="1" x14ac:dyDescent="0.25">
      <c r="A9" s="199"/>
      <c r="B9" s="203">
        <v>106</v>
      </c>
      <c r="C9" s="172" t="s">
        <v>2</v>
      </c>
      <c r="D9" s="101">
        <v>5</v>
      </c>
      <c r="E9" s="109">
        <v>4</v>
      </c>
      <c r="F9" s="110" t="s">
        <v>38</v>
      </c>
      <c r="G9" s="111"/>
      <c r="H9" s="112"/>
      <c r="I9" s="113"/>
      <c r="J9" s="114"/>
      <c r="K9" s="115">
        <v>4</v>
      </c>
      <c r="L9" s="113" t="s">
        <v>67</v>
      </c>
      <c r="M9" s="159">
        <f>0.8*1.44*K9</f>
        <v>4.6079999999999997</v>
      </c>
      <c r="N9" s="116"/>
      <c r="O9" s="113"/>
      <c r="P9" s="117"/>
      <c r="Q9" s="115"/>
      <c r="R9" s="113"/>
      <c r="S9" s="159"/>
      <c r="T9" s="177" t="s">
        <v>71</v>
      </c>
    </row>
    <row r="10" spans="1:21" s="3" customFormat="1" ht="12.95" customHeight="1" x14ac:dyDescent="0.25">
      <c r="A10" s="199"/>
      <c r="B10" s="203">
        <v>107</v>
      </c>
      <c r="C10" s="172" t="s">
        <v>3</v>
      </c>
      <c r="D10" s="101">
        <v>6</v>
      </c>
      <c r="E10" s="109">
        <v>2</v>
      </c>
      <c r="F10" s="110" t="s">
        <v>39</v>
      </c>
      <c r="G10" s="111"/>
      <c r="H10" s="112"/>
      <c r="I10" s="113"/>
      <c r="J10" s="114"/>
      <c r="K10" s="115">
        <v>2</v>
      </c>
      <c r="L10" s="113" t="s">
        <v>67</v>
      </c>
      <c r="M10" s="159">
        <f t="shared" ref="M10:M11" si="0">0.8*1.44*K10</f>
        <v>2.3039999999999998</v>
      </c>
      <c r="N10" s="116"/>
      <c r="O10" s="113"/>
      <c r="P10" s="117"/>
      <c r="Q10" s="115"/>
      <c r="R10" s="113"/>
      <c r="S10" s="159"/>
      <c r="T10" s="177" t="s">
        <v>71</v>
      </c>
    </row>
    <row r="11" spans="1:21" s="3" customFormat="1" ht="12.95" customHeight="1" x14ac:dyDescent="0.25">
      <c r="A11" s="199"/>
      <c r="B11" s="203">
        <v>109</v>
      </c>
      <c r="C11" s="172" t="s">
        <v>4</v>
      </c>
      <c r="D11" s="101">
        <v>7</v>
      </c>
      <c r="E11" s="109">
        <v>2</v>
      </c>
      <c r="F11" s="110" t="s">
        <v>39</v>
      </c>
      <c r="G11" s="111"/>
      <c r="H11" s="112"/>
      <c r="I11" s="113"/>
      <c r="J11" s="114"/>
      <c r="K11" s="115">
        <v>2</v>
      </c>
      <c r="L11" s="113" t="s">
        <v>67</v>
      </c>
      <c r="M11" s="159">
        <f t="shared" si="0"/>
        <v>2.3039999999999998</v>
      </c>
      <c r="N11" s="116"/>
      <c r="O11" s="113"/>
      <c r="P11" s="117"/>
      <c r="Q11" s="115"/>
      <c r="R11" s="113"/>
      <c r="S11" s="159"/>
      <c r="T11" s="177" t="s">
        <v>71</v>
      </c>
    </row>
    <row r="12" spans="1:21" s="3" customFormat="1" ht="12.95" customHeight="1" x14ac:dyDescent="0.25">
      <c r="A12" s="199"/>
      <c r="B12" s="203">
        <v>124</v>
      </c>
      <c r="C12" s="172" t="s">
        <v>5</v>
      </c>
      <c r="D12" s="101">
        <v>10</v>
      </c>
      <c r="E12" s="109">
        <v>2</v>
      </c>
      <c r="F12" s="110" t="s">
        <v>39</v>
      </c>
      <c r="G12" s="111">
        <v>1</v>
      </c>
      <c r="H12" s="118" t="s">
        <v>44</v>
      </c>
      <c r="I12" s="113">
        <f t="shared" ref="I12:I15" si="1">2.3*1.9</f>
        <v>4.3699999999999992</v>
      </c>
      <c r="J12" s="114">
        <v>2.2999999999999998</v>
      </c>
      <c r="K12" s="115"/>
      <c r="L12" s="113"/>
      <c r="M12" s="159"/>
      <c r="N12" s="116"/>
      <c r="O12" s="113"/>
      <c r="P12" s="117"/>
      <c r="Q12" s="115"/>
      <c r="R12" s="113"/>
      <c r="S12" s="159"/>
      <c r="T12" s="177" t="s">
        <v>73</v>
      </c>
      <c r="U12" s="3">
        <v>1</v>
      </c>
    </row>
    <row r="13" spans="1:21" s="3" customFormat="1" ht="12.95" customHeight="1" x14ac:dyDescent="0.25">
      <c r="A13" s="199"/>
      <c r="B13" s="203">
        <v>125</v>
      </c>
      <c r="C13" s="172" t="s">
        <v>6</v>
      </c>
      <c r="D13" s="101">
        <v>9</v>
      </c>
      <c r="E13" s="109">
        <v>2</v>
      </c>
      <c r="F13" s="110" t="s">
        <v>39</v>
      </c>
      <c r="G13" s="111">
        <v>1</v>
      </c>
      <c r="H13" s="118" t="s">
        <v>44</v>
      </c>
      <c r="I13" s="113">
        <f t="shared" si="1"/>
        <v>4.3699999999999992</v>
      </c>
      <c r="J13" s="114">
        <v>2.2999999999999998</v>
      </c>
      <c r="K13" s="115"/>
      <c r="L13" s="113"/>
      <c r="M13" s="159"/>
      <c r="N13" s="116"/>
      <c r="O13" s="113"/>
      <c r="P13" s="117"/>
      <c r="Q13" s="115"/>
      <c r="R13" s="113"/>
      <c r="S13" s="159"/>
      <c r="T13" s="177" t="s">
        <v>73</v>
      </c>
      <c r="U13" s="3">
        <v>1</v>
      </c>
    </row>
    <row r="14" spans="1:21" s="3" customFormat="1" ht="12.95" customHeight="1" x14ac:dyDescent="0.25">
      <c r="A14" s="199"/>
      <c r="B14" s="203" t="s">
        <v>28</v>
      </c>
      <c r="C14" s="172" t="s">
        <v>5</v>
      </c>
      <c r="D14" s="101">
        <v>11</v>
      </c>
      <c r="E14" s="109">
        <v>2</v>
      </c>
      <c r="F14" s="110" t="s">
        <v>39</v>
      </c>
      <c r="G14" s="111">
        <v>1</v>
      </c>
      <c r="H14" s="118" t="s">
        <v>44</v>
      </c>
      <c r="I14" s="113">
        <f t="shared" si="1"/>
        <v>4.3699999999999992</v>
      </c>
      <c r="J14" s="114">
        <v>2.2999999999999998</v>
      </c>
      <c r="K14" s="115"/>
      <c r="L14" s="113"/>
      <c r="M14" s="159"/>
      <c r="N14" s="116"/>
      <c r="O14" s="113"/>
      <c r="P14" s="117"/>
      <c r="Q14" s="115"/>
      <c r="R14" s="113"/>
      <c r="S14" s="159"/>
      <c r="T14" s="177" t="s">
        <v>73</v>
      </c>
      <c r="U14" s="3">
        <v>1</v>
      </c>
    </row>
    <row r="15" spans="1:21" s="3" customFormat="1" ht="12.95" customHeight="1" x14ac:dyDescent="0.25">
      <c r="A15" s="199"/>
      <c r="B15" s="203" t="s">
        <v>29</v>
      </c>
      <c r="C15" s="172" t="s">
        <v>10</v>
      </c>
      <c r="D15" s="101" t="s">
        <v>30</v>
      </c>
      <c r="E15" s="109">
        <v>2</v>
      </c>
      <c r="F15" s="110" t="s">
        <v>39</v>
      </c>
      <c r="G15" s="111">
        <v>1</v>
      </c>
      <c r="H15" s="118" t="s">
        <v>44</v>
      </c>
      <c r="I15" s="113">
        <f t="shared" si="1"/>
        <v>4.3699999999999992</v>
      </c>
      <c r="J15" s="114">
        <v>2.2999999999999998</v>
      </c>
      <c r="K15" s="115"/>
      <c r="L15" s="113"/>
      <c r="M15" s="159"/>
      <c r="N15" s="116"/>
      <c r="O15" s="113"/>
      <c r="P15" s="117"/>
      <c r="Q15" s="115"/>
      <c r="R15" s="113"/>
      <c r="S15" s="159"/>
      <c r="T15" s="177" t="s">
        <v>73</v>
      </c>
      <c r="U15" s="3">
        <v>1</v>
      </c>
    </row>
    <row r="16" spans="1:21" s="3" customFormat="1" ht="12.95" customHeight="1" x14ac:dyDescent="0.25">
      <c r="A16" s="199"/>
      <c r="B16" s="297">
        <v>131</v>
      </c>
      <c r="C16" s="298" t="s">
        <v>7</v>
      </c>
      <c r="D16" s="303">
        <v>15</v>
      </c>
      <c r="E16" s="109">
        <v>1</v>
      </c>
      <c r="F16" s="110" t="s">
        <v>69</v>
      </c>
      <c r="G16" s="111"/>
      <c r="H16" s="112"/>
      <c r="I16" s="113"/>
      <c r="J16" s="114"/>
      <c r="K16" s="115"/>
      <c r="L16" s="113"/>
      <c r="M16" s="159"/>
      <c r="N16" s="116"/>
      <c r="O16" s="113"/>
      <c r="P16" s="117"/>
      <c r="Q16" s="115">
        <v>1</v>
      </c>
      <c r="R16" s="113" t="s">
        <v>96</v>
      </c>
      <c r="S16" s="159">
        <f>1.05*1.65*Q16</f>
        <v>1.7324999999999999</v>
      </c>
      <c r="T16" s="177" t="s">
        <v>72</v>
      </c>
    </row>
    <row r="17" spans="1:21" s="3" customFormat="1" ht="12.95" customHeight="1" x14ac:dyDescent="0.25">
      <c r="A17" s="199"/>
      <c r="B17" s="297"/>
      <c r="C17" s="299"/>
      <c r="D17" s="304"/>
      <c r="E17" s="119">
        <v>4</v>
      </c>
      <c r="F17" s="110" t="s">
        <v>39</v>
      </c>
      <c r="G17" s="111"/>
      <c r="H17" s="112"/>
      <c r="I17" s="113"/>
      <c r="J17" s="114"/>
      <c r="K17" s="115"/>
      <c r="L17" s="113"/>
      <c r="M17" s="159"/>
      <c r="N17" s="116"/>
      <c r="O17" s="113"/>
      <c r="P17" s="117"/>
      <c r="Q17" s="115">
        <v>2</v>
      </c>
      <c r="R17" s="113" t="s">
        <v>95</v>
      </c>
      <c r="S17" s="159">
        <f>2.3*1.65*Q17</f>
        <v>7.589999999999999</v>
      </c>
      <c r="T17" s="177" t="s">
        <v>72</v>
      </c>
    </row>
    <row r="18" spans="1:21" s="3" customFormat="1" ht="12.95" customHeight="1" x14ac:dyDescent="0.25">
      <c r="A18" s="199"/>
      <c r="B18" s="203" t="s">
        <v>8</v>
      </c>
      <c r="C18" s="172" t="s">
        <v>6</v>
      </c>
      <c r="D18" s="101">
        <v>16</v>
      </c>
      <c r="E18" s="109">
        <v>2</v>
      </c>
      <c r="F18" s="110" t="s">
        <v>39</v>
      </c>
      <c r="G18" s="111">
        <v>1</v>
      </c>
      <c r="H18" s="120" t="s">
        <v>50</v>
      </c>
      <c r="I18" s="113">
        <f>2.3*2.14</f>
        <v>4.9219999999999997</v>
      </c>
      <c r="J18" s="114">
        <v>2.2999999999999998</v>
      </c>
      <c r="K18" s="115"/>
      <c r="L18" s="113"/>
      <c r="M18" s="159"/>
      <c r="N18" s="116"/>
      <c r="O18" s="113"/>
      <c r="P18" s="117"/>
      <c r="Q18" s="115"/>
      <c r="R18" s="113"/>
      <c r="S18" s="159"/>
      <c r="T18" s="177" t="s">
        <v>73</v>
      </c>
      <c r="U18" s="3">
        <v>1</v>
      </c>
    </row>
    <row r="19" spans="1:21" s="3" customFormat="1" ht="12.95" customHeight="1" x14ac:dyDescent="0.25">
      <c r="A19" s="199"/>
      <c r="B19" s="203">
        <v>133</v>
      </c>
      <c r="C19" s="172" t="s">
        <v>9</v>
      </c>
      <c r="D19" s="101">
        <v>19</v>
      </c>
      <c r="E19" s="109">
        <v>1</v>
      </c>
      <c r="F19" s="110" t="s">
        <v>40</v>
      </c>
      <c r="G19" s="111"/>
      <c r="H19" s="112"/>
      <c r="I19" s="113"/>
      <c r="J19" s="114"/>
      <c r="K19" s="115"/>
      <c r="L19" s="113"/>
      <c r="M19" s="159"/>
      <c r="N19" s="121">
        <v>1</v>
      </c>
      <c r="O19" s="122" t="s">
        <v>70</v>
      </c>
      <c r="P19" s="123">
        <f>2.4*1.65*N19</f>
        <v>3.9599999999999995</v>
      </c>
      <c r="Q19" s="115"/>
      <c r="R19" s="113"/>
      <c r="S19" s="159"/>
      <c r="T19" s="178" t="s">
        <v>74</v>
      </c>
    </row>
    <row r="20" spans="1:21" s="3" customFormat="1" ht="12.95" customHeight="1" x14ac:dyDescent="0.25">
      <c r="A20" s="199"/>
      <c r="B20" s="203">
        <v>135</v>
      </c>
      <c r="C20" s="172" t="s">
        <v>10</v>
      </c>
      <c r="D20" s="101">
        <v>20</v>
      </c>
      <c r="E20" s="109">
        <v>1</v>
      </c>
      <c r="F20" s="110" t="s">
        <v>40</v>
      </c>
      <c r="G20" s="111"/>
      <c r="H20" s="112"/>
      <c r="I20" s="113"/>
      <c r="J20" s="114"/>
      <c r="K20" s="115"/>
      <c r="L20" s="113"/>
      <c r="M20" s="159"/>
      <c r="N20" s="121">
        <v>1</v>
      </c>
      <c r="O20" s="122" t="s">
        <v>70</v>
      </c>
      <c r="P20" s="123">
        <f>2.4*1.65*N20</f>
        <v>3.9599999999999995</v>
      </c>
      <c r="Q20" s="115"/>
      <c r="R20" s="113"/>
      <c r="S20" s="159"/>
      <c r="T20" s="178" t="s">
        <v>74</v>
      </c>
    </row>
    <row r="21" spans="1:21" s="3" customFormat="1" ht="12.95" customHeight="1" x14ac:dyDescent="0.25">
      <c r="A21" s="199"/>
      <c r="B21" s="203">
        <v>136</v>
      </c>
      <c r="C21" s="172" t="s">
        <v>10</v>
      </c>
      <c r="D21" s="101">
        <v>22</v>
      </c>
      <c r="E21" s="109">
        <v>1</v>
      </c>
      <c r="F21" s="110" t="s">
        <v>40</v>
      </c>
      <c r="G21" s="111"/>
      <c r="H21" s="112"/>
      <c r="I21" s="113"/>
      <c r="J21" s="114"/>
      <c r="K21" s="115"/>
      <c r="L21" s="113"/>
      <c r="M21" s="159"/>
      <c r="N21" s="121">
        <v>1</v>
      </c>
      <c r="O21" s="122" t="s">
        <v>70</v>
      </c>
      <c r="P21" s="123">
        <f>2.4*1.65*N21</f>
        <v>3.9599999999999995</v>
      </c>
      <c r="Q21" s="115"/>
      <c r="R21" s="113"/>
      <c r="S21" s="159"/>
      <c r="T21" s="178" t="s">
        <v>74</v>
      </c>
    </row>
    <row r="22" spans="1:21" s="3" customFormat="1" ht="12.95" customHeight="1" x14ac:dyDescent="0.25">
      <c r="A22" s="199"/>
      <c r="B22" s="203">
        <v>137</v>
      </c>
      <c r="C22" s="172" t="s">
        <v>11</v>
      </c>
      <c r="D22" s="101">
        <v>23</v>
      </c>
      <c r="E22" s="109">
        <v>2</v>
      </c>
      <c r="F22" s="110" t="s">
        <v>40</v>
      </c>
      <c r="G22" s="111"/>
      <c r="H22" s="112"/>
      <c r="I22" s="113"/>
      <c r="J22" s="114"/>
      <c r="K22" s="115"/>
      <c r="L22" s="113"/>
      <c r="M22" s="159"/>
      <c r="N22" s="121">
        <v>2</v>
      </c>
      <c r="O22" s="122" t="s">
        <v>70</v>
      </c>
      <c r="P22" s="123">
        <f>2.4*1.65*N22</f>
        <v>7.919999999999999</v>
      </c>
      <c r="Q22" s="115"/>
      <c r="R22" s="113"/>
      <c r="S22" s="159"/>
      <c r="T22" s="178" t="s">
        <v>74</v>
      </c>
    </row>
    <row r="23" spans="1:21" s="3" customFormat="1" ht="12.95" customHeight="1" x14ac:dyDescent="0.25">
      <c r="A23" s="199"/>
      <c r="B23" s="203">
        <v>139</v>
      </c>
      <c r="C23" s="172" t="s">
        <v>27</v>
      </c>
      <c r="D23" s="101">
        <v>28</v>
      </c>
      <c r="E23" s="109">
        <v>1</v>
      </c>
      <c r="F23" s="110" t="s">
        <v>35</v>
      </c>
      <c r="G23" s="111">
        <v>1</v>
      </c>
      <c r="H23" s="112" t="s">
        <v>41</v>
      </c>
      <c r="I23" s="113">
        <f>1.2*1.7</f>
        <v>2.04</v>
      </c>
      <c r="J23" s="114">
        <v>1.2</v>
      </c>
      <c r="K23" s="115"/>
      <c r="L23" s="113"/>
      <c r="M23" s="159"/>
      <c r="N23" s="116"/>
      <c r="O23" s="113"/>
      <c r="P23" s="117"/>
      <c r="Q23" s="115"/>
      <c r="R23" s="113"/>
      <c r="S23" s="159"/>
      <c r="T23" s="177" t="s">
        <v>75</v>
      </c>
    </row>
    <row r="24" spans="1:21" s="3" customFormat="1" ht="12.95" customHeight="1" x14ac:dyDescent="0.25">
      <c r="A24" s="199"/>
      <c r="B24" s="203">
        <v>140</v>
      </c>
      <c r="C24" s="172" t="s">
        <v>10</v>
      </c>
      <c r="D24" s="101">
        <v>29</v>
      </c>
      <c r="E24" s="109">
        <v>2</v>
      </c>
      <c r="F24" s="110" t="s">
        <v>35</v>
      </c>
      <c r="G24" s="111">
        <v>2</v>
      </c>
      <c r="H24" s="112" t="s">
        <v>41</v>
      </c>
      <c r="I24" s="113">
        <f>1.2*1.7*2</f>
        <v>4.08</v>
      </c>
      <c r="J24" s="114">
        <f>1.2*2</f>
        <v>2.4</v>
      </c>
      <c r="K24" s="115"/>
      <c r="L24" s="113"/>
      <c r="M24" s="159"/>
      <c r="N24" s="116"/>
      <c r="O24" s="113"/>
      <c r="P24" s="117"/>
      <c r="Q24" s="115"/>
      <c r="R24" s="113"/>
      <c r="S24" s="159"/>
      <c r="T24" s="177" t="s">
        <v>75</v>
      </c>
    </row>
    <row r="25" spans="1:21" s="3" customFormat="1" ht="20.25" customHeight="1" x14ac:dyDescent="0.25">
      <c r="A25" s="199"/>
      <c r="B25" s="203">
        <v>141</v>
      </c>
      <c r="C25" s="172" t="s">
        <v>12</v>
      </c>
      <c r="D25" s="101">
        <v>30</v>
      </c>
      <c r="E25" s="109">
        <v>2</v>
      </c>
      <c r="F25" s="110" t="s">
        <v>38</v>
      </c>
      <c r="G25" s="111"/>
      <c r="H25" s="112"/>
      <c r="I25" s="113"/>
      <c r="J25" s="114"/>
      <c r="K25" s="115">
        <v>2</v>
      </c>
      <c r="L25" s="113" t="s">
        <v>67</v>
      </c>
      <c r="M25" s="159">
        <f>0.8*1.44*K25</f>
        <v>2.3039999999999998</v>
      </c>
      <c r="N25" s="116"/>
      <c r="O25" s="113"/>
      <c r="P25" s="117"/>
      <c r="Q25" s="115"/>
      <c r="R25" s="113"/>
      <c r="S25" s="159"/>
      <c r="T25" s="177" t="s">
        <v>71</v>
      </c>
    </row>
    <row r="26" spans="1:21" s="3" customFormat="1" ht="12.95" customHeight="1" x14ac:dyDescent="0.25">
      <c r="A26" s="199"/>
      <c r="B26" s="203">
        <v>142</v>
      </c>
      <c r="C26" s="172" t="s">
        <v>13</v>
      </c>
      <c r="D26" s="101">
        <v>24</v>
      </c>
      <c r="E26" s="109">
        <v>2</v>
      </c>
      <c r="F26" s="110" t="s">
        <v>76</v>
      </c>
      <c r="G26" s="111">
        <v>1</v>
      </c>
      <c r="H26" s="112" t="s">
        <v>84</v>
      </c>
      <c r="I26" s="113">
        <f>1.7*1.7</f>
        <v>2.8899999999999997</v>
      </c>
      <c r="J26" s="114">
        <v>1.7</v>
      </c>
      <c r="K26" s="115"/>
      <c r="L26" s="113"/>
      <c r="M26" s="159"/>
      <c r="N26" s="116"/>
      <c r="O26" s="113"/>
      <c r="P26" s="117"/>
      <c r="Q26" s="115"/>
      <c r="R26" s="113"/>
      <c r="S26" s="159"/>
      <c r="T26" s="177" t="s">
        <v>75</v>
      </c>
    </row>
    <row r="27" spans="1:21" s="3" customFormat="1" ht="12.95" customHeight="1" x14ac:dyDescent="0.25">
      <c r="A27" s="199"/>
      <c r="B27" s="204"/>
      <c r="C27" s="283" t="s">
        <v>54</v>
      </c>
      <c r="D27" s="284"/>
      <c r="E27" s="124"/>
      <c r="F27" s="125">
        <f>SUM(F8:F26)</f>
        <v>0</v>
      </c>
      <c r="G27" s="126">
        <f>SUM(G8:G26)</f>
        <v>9</v>
      </c>
      <c r="H27" s="127" t="s">
        <v>55</v>
      </c>
      <c r="I27" s="128">
        <f>SUM(I8:I26)</f>
        <v>31.411999999999999</v>
      </c>
      <c r="J27" s="129">
        <f>SUM(J8:J26)</f>
        <v>16.8</v>
      </c>
      <c r="K27" s="130">
        <f t="shared" ref="K27:S27" si="2">SUM(K8:K26)</f>
        <v>12</v>
      </c>
      <c r="L27" s="128"/>
      <c r="M27" s="161">
        <f t="shared" si="2"/>
        <v>13.824</v>
      </c>
      <c r="N27" s="130">
        <f t="shared" si="2"/>
        <v>5</v>
      </c>
      <c r="O27" s="128"/>
      <c r="P27" s="129">
        <f t="shared" si="2"/>
        <v>19.799999999999997</v>
      </c>
      <c r="Q27" s="130">
        <f t="shared" si="2"/>
        <v>3</v>
      </c>
      <c r="R27" s="128"/>
      <c r="S27" s="161">
        <f t="shared" si="2"/>
        <v>9.322499999999998</v>
      </c>
      <c r="T27" s="177"/>
    </row>
    <row r="28" spans="1:21" s="3" customFormat="1" ht="12.95" customHeight="1" x14ac:dyDescent="0.25">
      <c r="A28" s="200"/>
      <c r="B28" s="205"/>
      <c r="C28" s="354" t="s">
        <v>51</v>
      </c>
      <c r="D28" s="355"/>
      <c r="E28" s="355"/>
      <c r="F28" s="131"/>
      <c r="G28" s="131"/>
      <c r="H28" s="131"/>
      <c r="I28" s="132"/>
      <c r="J28" s="132"/>
      <c r="K28" s="133"/>
      <c r="L28" s="132"/>
      <c r="M28" s="167"/>
      <c r="N28" s="133"/>
      <c r="O28" s="132"/>
      <c r="P28" s="132"/>
      <c r="Q28" s="133"/>
      <c r="R28" s="132"/>
      <c r="S28" s="162"/>
      <c r="T28" s="177"/>
    </row>
    <row r="29" spans="1:21" s="3" customFormat="1" ht="12.95" customHeight="1" x14ac:dyDescent="0.25">
      <c r="B29" s="203">
        <v>203</v>
      </c>
      <c r="C29" s="172" t="s">
        <v>10</v>
      </c>
      <c r="D29" s="101">
        <v>103</v>
      </c>
      <c r="E29" s="134">
        <v>1</v>
      </c>
      <c r="F29" s="135" t="s">
        <v>43</v>
      </c>
      <c r="G29" s="136"/>
      <c r="H29" s="137"/>
      <c r="I29" s="137"/>
      <c r="J29" s="138"/>
      <c r="K29" s="139"/>
      <c r="L29" s="137"/>
      <c r="M29" s="163"/>
      <c r="N29" s="140"/>
      <c r="O29" s="137"/>
      <c r="P29" s="135"/>
      <c r="Q29" s="139">
        <v>1</v>
      </c>
      <c r="R29" s="137" t="s">
        <v>77</v>
      </c>
      <c r="S29" s="163">
        <f>2.2*1.65*Q29</f>
        <v>3.63</v>
      </c>
      <c r="T29" s="179" t="s">
        <v>45</v>
      </c>
    </row>
    <row r="30" spans="1:21" s="3" customFormat="1" ht="12.95" customHeight="1" x14ac:dyDescent="0.25">
      <c r="B30" s="203">
        <v>204</v>
      </c>
      <c r="C30" s="172" t="s">
        <v>10</v>
      </c>
      <c r="D30" s="101">
        <v>104</v>
      </c>
      <c r="E30" s="134">
        <v>1</v>
      </c>
      <c r="F30" s="135" t="s">
        <v>43</v>
      </c>
      <c r="G30" s="136">
        <v>1</v>
      </c>
      <c r="H30" s="141" t="s">
        <v>44</v>
      </c>
      <c r="I30" s="137">
        <f>2.3*1.9</f>
        <v>4.3699999999999992</v>
      </c>
      <c r="J30" s="138">
        <v>2.2999999999999998</v>
      </c>
      <c r="K30" s="139"/>
      <c r="L30" s="137"/>
      <c r="M30" s="163"/>
      <c r="N30" s="140"/>
      <c r="O30" s="137"/>
      <c r="P30" s="135"/>
      <c r="Q30" s="139"/>
      <c r="R30" s="137"/>
      <c r="S30" s="163"/>
      <c r="T30" s="177" t="s">
        <v>73</v>
      </c>
      <c r="U30" s="3">
        <v>1</v>
      </c>
    </row>
    <row r="31" spans="1:21" s="3" customFormat="1" ht="12.95" customHeight="1" x14ac:dyDescent="0.25">
      <c r="B31" s="203">
        <v>205</v>
      </c>
      <c r="C31" s="172" t="s">
        <v>10</v>
      </c>
      <c r="D31" s="101">
        <v>105</v>
      </c>
      <c r="E31" s="134">
        <v>1</v>
      </c>
      <c r="F31" s="135" t="s">
        <v>43</v>
      </c>
      <c r="G31" s="136">
        <v>1</v>
      </c>
      <c r="H31" s="141" t="s">
        <v>44</v>
      </c>
      <c r="I31" s="137">
        <f t="shared" ref="I31:I34" si="3">2.3*1.9</f>
        <v>4.3699999999999992</v>
      </c>
      <c r="J31" s="138">
        <v>2.2999999999999998</v>
      </c>
      <c r="K31" s="139"/>
      <c r="L31" s="137"/>
      <c r="M31" s="163"/>
      <c r="N31" s="140"/>
      <c r="O31" s="137"/>
      <c r="P31" s="135"/>
      <c r="Q31" s="139"/>
      <c r="R31" s="137"/>
      <c r="S31" s="163"/>
      <c r="T31" s="177" t="s">
        <v>73</v>
      </c>
      <c r="U31" s="3">
        <v>1</v>
      </c>
    </row>
    <row r="32" spans="1:21" s="3" customFormat="1" ht="12.95" customHeight="1" x14ac:dyDescent="0.25">
      <c r="B32" s="203">
        <v>206</v>
      </c>
      <c r="C32" s="172" t="s">
        <v>10</v>
      </c>
      <c r="D32" s="101">
        <v>106</v>
      </c>
      <c r="E32" s="134">
        <v>1</v>
      </c>
      <c r="F32" s="135" t="s">
        <v>43</v>
      </c>
      <c r="G32" s="136">
        <v>1</v>
      </c>
      <c r="H32" s="141" t="s">
        <v>44</v>
      </c>
      <c r="I32" s="137">
        <f t="shared" si="3"/>
        <v>4.3699999999999992</v>
      </c>
      <c r="J32" s="138">
        <v>2.2999999999999998</v>
      </c>
      <c r="K32" s="139"/>
      <c r="L32" s="137"/>
      <c r="M32" s="163"/>
      <c r="N32" s="140"/>
      <c r="O32" s="137"/>
      <c r="P32" s="135"/>
      <c r="Q32" s="139"/>
      <c r="R32" s="137"/>
      <c r="S32" s="163"/>
      <c r="T32" s="177" t="s">
        <v>73</v>
      </c>
      <c r="U32" s="3">
        <v>1</v>
      </c>
    </row>
    <row r="33" spans="2:21" s="3" customFormat="1" ht="12.95" customHeight="1" x14ac:dyDescent="0.25">
      <c r="B33" s="203">
        <v>207</v>
      </c>
      <c r="C33" s="172" t="s">
        <v>10</v>
      </c>
      <c r="D33" s="101">
        <v>107</v>
      </c>
      <c r="E33" s="134">
        <v>1</v>
      </c>
      <c r="F33" s="135" t="s">
        <v>43</v>
      </c>
      <c r="G33" s="136">
        <v>1</v>
      </c>
      <c r="H33" s="141" t="s">
        <v>44</v>
      </c>
      <c r="I33" s="137">
        <f t="shared" si="3"/>
        <v>4.3699999999999992</v>
      </c>
      <c r="J33" s="138">
        <v>2.2999999999999998</v>
      </c>
      <c r="K33" s="139"/>
      <c r="L33" s="137"/>
      <c r="M33" s="163"/>
      <c r="N33" s="140"/>
      <c r="O33" s="137"/>
      <c r="P33" s="135"/>
      <c r="Q33" s="139"/>
      <c r="R33" s="137"/>
      <c r="S33" s="163"/>
      <c r="T33" s="177" t="s">
        <v>73</v>
      </c>
      <c r="U33" s="3">
        <v>1</v>
      </c>
    </row>
    <row r="34" spans="2:21" s="3" customFormat="1" ht="12.95" customHeight="1" x14ac:dyDescent="0.25">
      <c r="B34" s="203">
        <v>208</v>
      </c>
      <c r="C34" s="172" t="s">
        <v>10</v>
      </c>
      <c r="D34" s="101">
        <v>108</v>
      </c>
      <c r="E34" s="134">
        <v>1</v>
      </c>
      <c r="F34" s="135" t="s">
        <v>43</v>
      </c>
      <c r="G34" s="136">
        <v>1</v>
      </c>
      <c r="H34" s="141" t="s">
        <v>44</v>
      </c>
      <c r="I34" s="137">
        <f t="shared" si="3"/>
        <v>4.3699999999999992</v>
      </c>
      <c r="J34" s="138">
        <v>2.2999999999999998</v>
      </c>
      <c r="K34" s="139"/>
      <c r="L34" s="137"/>
      <c r="M34" s="163"/>
      <c r="N34" s="140"/>
      <c r="O34" s="137"/>
      <c r="P34" s="135"/>
      <c r="Q34" s="139"/>
      <c r="R34" s="137"/>
      <c r="S34" s="163"/>
      <c r="T34" s="177" t="s">
        <v>73</v>
      </c>
      <c r="U34" s="3">
        <v>1</v>
      </c>
    </row>
    <row r="35" spans="2:21" s="3" customFormat="1" ht="12.95" customHeight="1" x14ac:dyDescent="0.25">
      <c r="B35" s="203">
        <v>210</v>
      </c>
      <c r="C35" s="172" t="s">
        <v>23</v>
      </c>
      <c r="D35" s="101">
        <v>110</v>
      </c>
      <c r="E35" s="134">
        <v>1</v>
      </c>
      <c r="F35" s="110" t="s">
        <v>40</v>
      </c>
      <c r="G35" s="111"/>
      <c r="H35" s="112"/>
      <c r="I35" s="113"/>
      <c r="J35" s="114"/>
      <c r="K35" s="115"/>
      <c r="L35" s="113"/>
      <c r="M35" s="159"/>
      <c r="N35" s="121">
        <v>1</v>
      </c>
      <c r="O35" s="122" t="s">
        <v>70</v>
      </c>
      <c r="P35" s="123">
        <f>2.4*1.65*N35</f>
        <v>3.9599999999999995</v>
      </c>
      <c r="Q35" s="115"/>
      <c r="R35" s="113"/>
      <c r="S35" s="159"/>
      <c r="T35" s="178" t="s">
        <v>74</v>
      </c>
    </row>
    <row r="36" spans="2:21" s="3" customFormat="1" ht="12.95" customHeight="1" x14ac:dyDescent="0.25">
      <c r="B36" s="203">
        <v>214</v>
      </c>
      <c r="C36" s="172" t="s">
        <v>10</v>
      </c>
      <c r="D36" s="101">
        <v>113</v>
      </c>
      <c r="E36" s="134">
        <v>2</v>
      </c>
      <c r="F36" s="142" t="s">
        <v>46</v>
      </c>
      <c r="G36" s="143">
        <v>1</v>
      </c>
      <c r="H36" s="144" t="s">
        <v>56</v>
      </c>
      <c r="I36" s="144">
        <f>2.9*1.9</f>
        <v>5.51</v>
      </c>
      <c r="J36" s="145">
        <v>2.9</v>
      </c>
      <c r="K36" s="146"/>
      <c r="L36" s="144"/>
      <c r="M36" s="164"/>
      <c r="N36" s="147"/>
      <c r="O36" s="144"/>
      <c r="P36" s="142"/>
      <c r="Q36" s="146"/>
      <c r="R36" s="144"/>
      <c r="S36" s="164"/>
      <c r="T36" s="180" t="s">
        <v>73</v>
      </c>
    </row>
    <row r="37" spans="2:21" s="3" customFormat="1" ht="12.95" customHeight="1" x14ac:dyDescent="0.25">
      <c r="B37" s="203">
        <v>215</v>
      </c>
      <c r="C37" s="172" t="s">
        <v>10</v>
      </c>
      <c r="D37" s="101">
        <v>114</v>
      </c>
      <c r="E37" s="134">
        <v>2</v>
      </c>
      <c r="F37" s="142"/>
      <c r="G37" s="143"/>
      <c r="H37" s="144"/>
      <c r="I37" s="144"/>
      <c r="J37" s="145"/>
      <c r="K37" s="146"/>
      <c r="L37" s="144"/>
      <c r="M37" s="164"/>
      <c r="N37" s="147"/>
      <c r="O37" s="144"/>
      <c r="P37" s="142"/>
      <c r="Q37" s="146"/>
      <c r="R37" s="144"/>
      <c r="S37" s="164"/>
      <c r="T37" s="180"/>
    </row>
    <row r="38" spans="2:21" s="3" customFormat="1" ht="12.95" customHeight="1" x14ac:dyDescent="0.25">
      <c r="B38" s="203">
        <v>216</v>
      </c>
      <c r="C38" s="173" t="s">
        <v>10</v>
      </c>
      <c r="D38" s="148">
        <v>115</v>
      </c>
      <c r="E38" s="149">
        <v>3</v>
      </c>
      <c r="F38" s="142"/>
      <c r="G38" s="143"/>
      <c r="H38" s="137"/>
      <c r="I38" s="137"/>
      <c r="J38" s="138"/>
      <c r="K38" s="139"/>
      <c r="L38" s="137"/>
      <c r="M38" s="163"/>
      <c r="N38" s="140"/>
      <c r="O38" s="137"/>
      <c r="P38" s="135"/>
      <c r="Q38" s="139"/>
      <c r="R38" s="137"/>
      <c r="S38" s="163"/>
      <c r="T38" s="179"/>
    </row>
    <row r="39" spans="2:21" s="3" customFormat="1" ht="12.95" customHeight="1" x14ac:dyDescent="0.25">
      <c r="B39" s="203">
        <v>217</v>
      </c>
      <c r="C39" s="172" t="s">
        <v>10</v>
      </c>
      <c r="D39" s="101">
        <v>116</v>
      </c>
      <c r="E39" s="134">
        <v>1</v>
      </c>
      <c r="F39" s="135" t="s">
        <v>43</v>
      </c>
      <c r="G39" s="136">
        <v>1</v>
      </c>
      <c r="H39" s="141" t="s">
        <v>44</v>
      </c>
      <c r="I39" s="137">
        <f>2.3*1.9</f>
        <v>4.3699999999999992</v>
      </c>
      <c r="J39" s="138">
        <v>2.2999999999999998</v>
      </c>
      <c r="K39" s="139"/>
      <c r="L39" s="137"/>
      <c r="M39" s="163"/>
      <c r="N39" s="140"/>
      <c r="O39" s="137"/>
      <c r="P39" s="135"/>
      <c r="Q39" s="139"/>
      <c r="R39" s="137"/>
      <c r="S39" s="163"/>
      <c r="T39" s="179" t="s">
        <v>73</v>
      </c>
      <c r="U39" s="3">
        <v>1</v>
      </c>
    </row>
    <row r="40" spans="2:21" s="3" customFormat="1" ht="12.95" customHeight="1" x14ac:dyDescent="0.25">
      <c r="B40" s="203">
        <v>218</v>
      </c>
      <c r="C40" s="172" t="s">
        <v>10</v>
      </c>
      <c r="D40" s="101">
        <v>117</v>
      </c>
      <c r="E40" s="134">
        <v>1</v>
      </c>
      <c r="F40" s="135" t="s">
        <v>43</v>
      </c>
      <c r="G40" s="136">
        <v>1</v>
      </c>
      <c r="H40" s="141" t="s">
        <v>44</v>
      </c>
      <c r="I40" s="137">
        <f t="shared" ref="I40:I63" si="4">2.3*1.9</f>
        <v>4.3699999999999992</v>
      </c>
      <c r="J40" s="138">
        <v>2.2999999999999998</v>
      </c>
      <c r="K40" s="139"/>
      <c r="L40" s="137"/>
      <c r="M40" s="163"/>
      <c r="N40" s="140"/>
      <c r="O40" s="137"/>
      <c r="P40" s="135"/>
      <c r="Q40" s="139"/>
      <c r="R40" s="137"/>
      <c r="S40" s="163"/>
      <c r="T40" s="179" t="s">
        <v>73</v>
      </c>
      <c r="U40" s="3">
        <v>1</v>
      </c>
    </row>
    <row r="41" spans="2:21" s="3" customFormat="1" ht="12.95" customHeight="1" x14ac:dyDescent="0.25">
      <c r="B41" s="203">
        <v>219</v>
      </c>
      <c r="C41" s="172" t="s">
        <v>10</v>
      </c>
      <c r="D41" s="101">
        <v>118</v>
      </c>
      <c r="E41" s="134">
        <v>1</v>
      </c>
      <c r="F41" s="135" t="s">
        <v>43</v>
      </c>
      <c r="G41" s="136">
        <v>1</v>
      </c>
      <c r="H41" s="141" t="s">
        <v>44</v>
      </c>
      <c r="I41" s="137">
        <f t="shared" si="4"/>
        <v>4.3699999999999992</v>
      </c>
      <c r="J41" s="138">
        <v>2.2999999999999998</v>
      </c>
      <c r="K41" s="139"/>
      <c r="L41" s="137"/>
      <c r="M41" s="163"/>
      <c r="N41" s="140"/>
      <c r="O41" s="137"/>
      <c r="P41" s="135"/>
      <c r="Q41" s="139"/>
      <c r="R41" s="137"/>
      <c r="S41" s="163"/>
      <c r="T41" s="179" t="s">
        <v>73</v>
      </c>
      <c r="U41" s="3">
        <v>1</v>
      </c>
    </row>
    <row r="42" spans="2:21" s="3" customFormat="1" ht="12.95" customHeight="1" x14ac:dyDescent="0.25">
      <c r="B42" s="203">
        <v>220</v>
      </c>
      <c r="C42" s="172" t="s">
        <v>10</v>
      </c>
      <c r="D42" s="101">
        <v>119</v>
      </c>
      <c r="E42" s="134">
        <v>1</v>
      </c>
      <c r="F42" s="135" t="s">
        <v>43</v>
      </c>
      <c r="G42" s="136">
        <v>1</v>
      </c>
      <c r="H42" s="141" t="s">
        <v>44</v>
      </c>
      <c r="I42" s="137">
        <f t="shared" si="4"/>
        <v>4.3699999999999992</v>
      </c>
      <c r="J42" s="138">
        <v>2.2999999999999998</v>
      </c>
      <c r="K42" s="139"/>
      <c r="L42" s="137"/>
      <c r="M42" s="163"/>
      <c r="N42" s="140"/>
      <c r="O42" s="137"/>
      <c r="P42" s="135"/>
      <c r="Q42" s="139"/>
      <c r="R42" s="137"/>
      <c r="S42" s="163"/>
      <c r="T42" s="179" t="s">
        <v>73</v>
      </c>
      <c r="U42" s="3">
        <v>1</v>
      </c>
    </row>
    <row r="43" spans="2:21" s="3" customFormat="1" ht="12.95" customHeight="1" x14ac:dyDescent="0.25">
      <c r="B43" s="203">
        <v>221</v>
      </c>
      <c r="C43" s="172" t="s">
        <v>10</v>
      </c>
      <c r="D43" s="101">
        <v>120</v>
      </c>
      <c r="E43" s="134">
        <v>1</v>
      </c>
      <c r="F43" s="135" t="s">
        <v>43</v>
      </c>
      <c r="G43" s="136">
        <v>1</v>
      </c>
      <c r="H43" s="141" t="s">
        <v>44</v>
      </c>
      <c r="I43" s="137">
        <f t="shared" si="4"/>
        <v>4.3699999999999992</v>
      </c>
      <c r="J43" s="138">
        <v>2.2999999999999998</v>
      </c>
      <c r="K43" s="139"/>
      <c r="L43" s="137"/>
      <c r="M43" s="163"/>
      <c r="N43" s="140"/>
      <c r="O43" s="137"/>
      <c r="P43" s="135"/>
      <c r="Q43" s="139"/>
      <c r="R43" s="137"/>
      <c r="S43" s="163"/>
      <c r="T43" s="179" t="s">
        <v>73</v>
      </c>
      <c r="U43" s="3">
        <v>1</v>
      </c>
    </row>
    <row r="44" spans="2:21" s="3" customFormat="1" ht="12.95" customHeight="1" x14ac:dyDescent="0.25">
      <c r="B44" s="203">
        <v>222</v>
      </c>
      <c r="C44" s="172" t="s">
        <v>10</v>
      </c>
      <c r="D44" s="101">
        <v>121</v>
      </c>
      <c r="E44" s="134">
        <v>1</v>
      </c>
      <c r="F44" s="135" t="s">
        <v>43</v>
      </c>
      <c r="G44" s="136">
        <v>1</v>
      </c>
      <c r="H44" s="141" t="s">
        <v>44</v>
      </c>
      <c r="I44" s="137">
        <f t="shared" si="4"/>
        <v>4.3699999999999992</v>
      </c>
      <c r="J44" s="138">
        <v>2.2999999999999998</v>
      </c>
      <c r="K44" s="139"/>
      <c r="L44" s="137"/>
      <c r="M44" s="163"/>
      <c r="N44" s="140"/>
      <c r="O44" s="137"/>
      <c r="P44" s="135"/>
      <c r="Q44" s="139"/>
      <c r="R44" s="137"/>
      <c r="S44" s="163"/>
      <c r="T44" s="179" t="s">
        <v>73</v>
      </c>
      <c r="U44" s="3">
        <v>1</v>
      </c>
    </row>
    <row r="45" spans="2:21" s="3" customFormat="1" ht="12.95" customHeight="1" x14ac:dyDescent="0.25">
      <c r="B45" s="203">
        <v>223</v>
      </c>
      <c r="C45" s="172" t="s">
        <v>10</v>
      </c>
      <c r="D45" s="101">
        <v>122</v>
      </c>
      <c r="E45" s="134">
        <v>1</v>
      </c>
      <c r="F45" s="135" t="s">
        <v>43</v>
      </c>
      <c r="G45" s="136">
        <v>1</v>
      </c>
      <c r="H45" s="141" t="s">
        <v>44</v>
      </c>
      <c r="I45" s="137">
        <f t="shared" si="4"/>
        <v>4.3699999999999992</v>
      </c>
      <c r="J45" s="138">
        <v>2.2999999999999998</v>
      </c>
      <c r="K45" s="139"/>
      <c r="L45" s="137"/>
      <c r="M45" s="163"/>
      <c r="N45" s="140"/>
      <c r="O45" s="137"/>
      <c r="P45" s="135"/>
      <c r="Q45" s="139"/>
      <c r="R45" s="137"/>
      <c r="S45" s="163"/>
      <c r="T45" s="179" t="s">
        <v>73</v>
      </c>
      <c r="U45" s="3">
        <v>1</v>
      </c>
    </row>
    <row r="46" spans="2:21" s="3" customFormat="1" ht="12.95" customHeight="1" x14ac:dyDescent="0.25">
      <c r="B46" s="203">
        <v>224</v>
      </c>
      <c r="C46" s="172" t="s">
        <v>14</v>
      </c>
      <c r="D46" s="101">
        <v>123</v>
      </c>
      <c r="E46" s="134">
        <v>1</v>
      </c>
      <c r="F46" s="135" t="s">
        <v>43</v>
      </c>
      <c r="G46" s="136">
        <v>1</v>
      </c>
      <c r="H46" s="141" t="s">
        <v>44</v>
      </c>
      <c r="I46" s="137">
        <f t="shared" si="4"/>
        <v>4.3699999999999992</v>
      </c>
      <c r="J46" s="138">
        <v>2.2999999999999998</v>
      </c>
      <c r="K46" s="139"/>
      <c r="L46" s="137"/>
      <c r="M46" s="163"/>
      <c r="N46" s="140"/>
      <c r="O46" s="137"/>
      <c r="P46" s="135"/>
      <c r="Q46" s="139"/>
      <c r="R46" s="137"/>
      <c r="S46" s="163"/>
      <c r="T46" s="179" t="s">
        <v>73</v>
      </c>
      <c r="U46" s="3">
        <v>1</v>
      </c>
    </row>
    <row r="47" spans="2:21" s="3" customFormat="1" ht="12.95" customHeight="1" x14ac:dyDescent="0.25">
      <c r="B47" s="203">
        <v>225</v>
      </c>
      <c r="C47" s="172" t="s">
        <v>25</v>
      </c>
      <c r="D47" s="101">
        <v>124</v>
      </c>
      <c r="E47" s="134">
        <v>2</v>
      </c>
      <c r="F47" s="135"/>
      <c r="G47" s="136"/>
      <c r="H47" s="137"/>
      <c r="I47" s="137"/>
      <c r="J47" s="138"/>
      <c r="K47" s="139"/>
      <c r="L47" s="137"/>
      <c r="M47" s="163"/>
      <c r="N47" s="140"/>
      <c r="O47" s="137"/>
      <c r="P47" s="135"/>
      <c r="Q47" s="139"/>
      <c r="R47" s="137"/>
      <c r="S47" s="163"/>
      <c r="T47" s="179"/>
    </row>
    <row r="48" spans="2:21" s="3" customFormat="1" ht="12.95" customHeight="1" x14ac:dyDescent="0.25">
      <c r="B48" s="203">
        <v>226</v>
      </c>
      <c r="C48" s="172" t="s">
        <v>24</v>
      </c>
      <c r="D48" s="101">
        <v>125</v>
      </c>
      <c r="E48" s="134">
        <v>1</v>
      </c>
      <c r="F48" s="135"/>
      <c r="G48" s="136"/>
      <c r="H48" s="137"/>
      <c r="I48" s="137"/>
      <c r="J48" s="138"/>
      <c r="K48" s="139"/>
      <c r="L48" s="137"/>
      <c r="M48" s="163"/>
      <c r="N48" s="140"/>
      <c r="O48" s="137"/>
      <c r="P48" s="135"/>
      <c r="Q48" s="139"/>
      <c r="R48" s="137"/>
      <c r="S48" s="163"/>
      <c r="T48" s="179"/>
    </row>
    <row r="49" spans="2:21" s="3" customFormat="1" ht="12.95" customHeight="1" x14ac:dyDescent="0.25">
      <c r="B49" s="203">
        <v>227</v>
      </c>
      <c r="C49" s="172" t="s">
        <v>26</v>
      </c>
      <c r="D49" s="101">
        <v>126</v>
      </c>
      <c r="E49" s="134">
        <v>1</v>
      </c>
      <c r="F49" s="135"/>
      <c r="G49" s="136"/>
      <c r="H49" s="137"/>
      <c r="I49" s="137"/>
      <c r="J49" s="138"/>
      <c r="K49" s="139"/>
      <c r="L49" s="137"/>
      <c r="M49" s="163"/>
      <c r="N49" s="140"/>
      <c r="O49" s="137"/>
      <c r="P49" s="135"/>
      <c r="Q49" s="139"/>
      <c r="R49" s="137"/>
      <c r="S49" s="163"/>
      <c r="T49" s="179"/>
    </row>
    <row r="50" spans="2:21" s="3" customFormat="1" ht="12.95" customHeight="1" x14ac:dyDescent="0.25">
      <c r="B50" s="203">
        <v>229</v>
      </c>
      <c r="C50" s="172" t="s">
        <v>10</v>
      </c>
      <c r="D50" s="101">
        <v>127</v>
      </c>
      <c r="E50" s="134">
        <v>1</v>
      </c>
      <c r="F50" s="135" t="s">
        <v>43</v>
      </c>
      <c r="G50" s="136">
        <v>1</v>
      </c>
      <c r="H50" s="141" t="s">
        <v>44</v>
      </c>
      <c r="I50" s="137">
        <f t="shared" si="4"/>
        <v>4.3699999999999992</v>
      </c>
      <c r="J50" s="138">
        <v>2.2999999999999998</v>
      </c>
      <c r="K50" s="139"/>
      <c r="L50" s="137"/>
      <c r="M50" s="163"/>
      <c r="N50" s="140"/>
      <c r="O50" s="137"/>
      <c r="P50" s="135"/>
      <c r="Q50" s="139"/>
      <c r="R50" s="137"/>
      <c r="S50" s="163"/>
      <c r="T50" s="179" t="s">
        <v>73</v>
      </c>
      <c r="U50" s="3">
        <v>1</v>
      </c>
    </row>
    <row r="51" spans="2:21" s="3" customFormat="1" ht="12.95" customHeight="1" x14ac:dyDescent="0.25">
      <c r="B51" s="203">
        <v>230</v>
      </c>
      <c r="C51" s="172" t="s">
        <v>10</v>
      </c>
      <c r="D51" s="101">
        <v>128</v>
      </c>
      <c r="E51" s="134">
        <v>1</v>
      </c>
      <c r="F51" s="135" t="s">
        <v>43</v>
      </c>
      <c r="G51" s="136">
        <v>1</v>
      </c>
      <c r="H51" s="141" t="s">
        <v>44</v>
      </c>
      <c r="I51" s="137">
        <f t="shared" si="4"/>
        <v>4.3699999999999992</v>
      </c>
      <c r="J51" s="138">
        <v>2.2999999999999998</v>
      </c>
      <c r="K51" s="139"/>
      <c r="L51" s="137"/>
      <c r="M51" s="163"/>
      <c r="N51" s="140"/>
      <c r="O51" s="137"/>
      <c r="P51" s="135"/>
      <c r="Q51" s="139"/>
      <c r="R51" s="137"/>
      <c r="S51" s="163"/>
      <c r="T51" s="179" t="s">
        <v>73</v>
      </c>
      <c r="U51" s="3">
        <v>1</v>
      </c>
    </row>
    <row r="52" spans="2:21" s="3" customFormat="1" ht="12.95" customHeight="1" x14ac:dyDescent="0.25">
      <c r="B52" s="203">
        <v>231</v>
      </c>
      <c r="C52" s="172" t="s">
        <v>10</v>
      </c>
      <c r="D52" s="101">
        <v>129</v>
      </c>
      <c r="E52" s="134">
        <v>1</v>
      </c>
      <c r="F52" s="135" t="s">
        <v>43</v>
      </c>
      <c r="G52" s="136">
        <v>1</v>
      </c>
      <c r="H52" s="141" t="s">
        <v>44</v>
      </c>
      <c r="I52" s="137">
        <f t="shared" si="4"/>
        <v>4.3699999999999992</v>
      </c>
      <c r="J52" s="138">
        <v>2.2999999999999998</v>
      </c>
      <c r="K52" s="139"/>
      <c r="L52" s="137"/>
      <c r="M52" s="163"/>
      <c r="N52" s="140"/>
      <c r="O52" s="137"/>
      <c r="P52" s="135"/>
      <c r="Q52" s="139"/>
      <c r="R52" s="137"/>
      <c r="S52" s="163"/>
      <c r="T52" s="179" t="s">
        <v>73</v>
      </c>
      <c r="U52" s="3">
        <v>1</v>
      </c>
    </row>
    <row r="53" spans="2:21" s="3" customFormat="1" ht="12.95" customHeight="1" x14ac:dyDescent="0.25">
      <c r="B53" s="203">
        <v>232</v>
      </c>
      <c r="C53" s="172" t="s">
        <v>10</v>
      </c>
      <c r="D53" s="101">
        <v>130</v>
      </c>
      <c r="E53" s="134">
        <v>1</v>
      </c>
      <c r="F53" s="135" t="s">
        <v>43</v>
      </c>
      <c r="G53" s="136">
        <v>1</v>
      </c>
      <c r="H53" s="141" t="s">
        <v>44</v>
      </c>
      <c r="I53" s="137">
        <f t="shared" si="4"/>
        <v>4.3699999999999992</v>
      </c>
      <c r="J53" s="138">
        <v>2.2999999999999998</v>
      </c>
      <c r="K53" s="139"/>
      <c r="L53" s="137"/>
      <c r="M53" s="163"/>
      <c r="N53" s="140"/>
      <c r="O53" s="137"/>
      <c r="P53" s="135"/>
      <c r="Q53" s="139"/>
      <c r="R53" s="137"/>
      <c r="S53" s="163"/>
      <c r="T53" s="179" t="s">
        <v>73</v>
      </c>
      <c r="U53" s="3">
        <v>1</v>
      </c>
    </row>
    <row r="54" spans="2:21" s="3" customFormat="1" ht="12.95" customHeight="1" x14ac:dyDescent="0.25">
      <c r="B54" s="203">
        <v>233</v>
      </c>
      <c r="C54" s="172" t="s">
        <v>10</v>
      </c>
      <c r="D54" s="101">
        <v>131</v>
      </c>
      <c r="E54" s="134">
        <v>1</v>
      </c>
      <c r="F54" s="135" t="s">
        <v>43</v>
      </c>
      <c r="G54" s="136">
        <v>1</v>
      </c>
      <c r="H54" s="141" t="s">
        <v>44</v>
      </c>
      <c r="I54" s="137">
        <f t="shared" si="4"/>
        <v>4.3699999999999992</v>
      </c>
      <c r="J54" s="138">
        <v>2.2999999999999998</v>
      </c>
      <c r="K54" s="139"/>
      <c r="L54" s="137"/>
      <c r="M54" s="163"/>
      <c r="N54" s="140"/>
      <c r="O54" s="137"/>
      <c r="P54" s="135"/>
      <c r="Q54" s="139"/>
      <c r="R54" s="137"/>
      <c r="S54" s="163"/>
      <c r="T54" s="179" t="s">
        <v>73</v>
      </c>
      <c r="U54" s="3">
        <v>1</v>
      </c>
    </row>
    <row r="55" spans="2:21" s="3" customFormat="1" ht="12.95" customHeight="1" x14ac:dyDescent="0.25">
      <c r="B55" s="203">
        <v>234</v>
      </c>
      <c r="C55" s="172" t="s">
        <v>10</v>
      </c>
      <c r="D55" s="101">
        <v>132</v>
      </c>
      <c r="E55" s="134">
        <v>1</v>
      </c>
      <c r="F55" s="135" t="s">
        <v>43</v>
      </c>
      <c r="G55" s="136">
        <v>1</v>
      </c>
      <c r="H55" s="141" t="s">
        <v>44</v>
      </c>
      <c r="I55" s="137">
        <f t="shared" si="4"/>
        <v>4.3699999999999992</v>
      </c>
      <c r="J55" s="138">
        <v>2.2999999999999998</v>
      </c>
      <c r="K55" s="139"/>
      <c r="L55" s="137"/>
      <c r="M55" s="163"/>
      <c r="N55" s="140"/>
      <c r="O55" s="137"/>
      <c r="P55" s="135"/>
      <c r="Q55" s="139"/>
      <c r="R55" s="137"/>
      <c r="S55" s="163"/>
      <c r="T55" s="179" t="s">
        <v>73</v>
      </c>
      <c r="U55" s="3">
        <v>1</v>
      </c>
    </row>
    <row r="56" spans="2:21" s="3" customFormat="1" ht="12.95" customHeight="1" x14ac:dyDescent="0.25">
      <c r="B56" s="203">
        <v>236</v>
      </c>
      <c r="C56" s="172" t="s">
        <v>10</v>
      </c>
      <c r="D56" s="101">
        <v>134</v>
      </c>
      <c r="E56" s="134">
        <v>1</v>
      </c>
      <c r="F56" s="135" t="s">
        <v>43</v>
      </c>
      <c r="G56" s="136"/>
      <c r="H56" s="137"/>
      <c r="I56" s="137"/>
      <c r="J56" s="138"/>
      <c r="K56" s="139"/>
      <c r="L56" s="137"/>
      <c r="M56" s="163"/>
      <c r="N56" s="140">
        <v>3</v>
      </c>
      <c r="O56" s="137" t="s">
        <v>78</v>
      </c>
      <c r="P56" s="135">
        <f>0.65*1.44*N56</f>
        <v>2.8079999999999998</v>
      </c>
      <c r="Q56" s="139"/>
      <c r="R56" s="137"/>
      <c r="S56" s="163"/>
      <c r="T56" s="179" t="s">
        <v>79</v>
      </c>
    </row>
    <row r="57" spans="2:21" s="3" customFormat="1" ht="12.95" customHeight="1" x14ac:dyDescent="0.25">
      <c r="B57" s="203">
        <v>237</v>
      </c>
      <c r="C57" s="172" t="s">
        <v>10</v>
      </c>
      <c r="D57" s="101">
        <v>135</v>
      </c>
      <c r="E57" s="134">
        <v>1</v>
      </c>
      <c r="F57" s="135" t="s">
        <v>43</v>
      </c>
      <c r="G57" s="136"/>
      <c r="H57" s="137"/>
      <c r="I57" s="137"/>
      <c r="J57" s="138"/>
      <c r="K57" s="139"/>
      <c r="L57" s="137"/>
      <c r="M57" s="163"/>
      <c r="N57" s="140">
        <v>3</v>
      </c>
      <c r="O57" s="137" t="s">
        <v>78</v>
      </c>
      <c r="P57" s="135">
        <f t="shared" ref="P57:P59" si="5">0.65*1.44*N57</f>
        <v>2.8079999999999998</v>
      </c>
      <c r="Q57" s="139"/>
      <c r="R57" s="137"/>
      <c r="S57" s="163"/>
      <c r="T57" s="179" t="s">
        <v>79</v>
      </c>
    </row>
    <row r="58" spans="2:21" s="3" customFormat="1" ht="12.95" customHeight="1" x14ac:dyDescent="0.25">
      <c r="B58" s="203">
        <v>238</v>
      </c>
      <c r="C58" s="172" t="s">
        <v>10</v>
      </c>
      <c r="D58" s="101">
        <v>136</v>
      </c>
      <c r="E58" s="134">
        <v>1</v>
      </c>
      <c r="F58" s="135" t="s">
        <v>43</v>
      </c>
      <c r="G58" s="136"/>
      <c r="H58" s="137"/>
      <c r="I58" s="137"/>
      <c r="J58" s="138"/>
      <c r="K58" s="139"/>
      <c r="L58" s="137"/>
      <c r="M58" s="163"/>
      <c r="N58" s="140">
        <v>3</v>
      </c>
      <c r="O58" s="137" t="s">
        <v>78</v>
      </c>
      <c r="P58" s="135">
        <f t="shared" si="5"/>
        <v>2.8079999999999998</v>
      </c>
      <c r="Q58" s="139"/>
      <c r="R58" s="137"/>
      <c r="S58" s="163"/>
      <c r="T58" s="179" t="s">
        <v>79</v>
      </c>
    </row>
    <row r="59" spans="2:21" s="3" customFormat="1" ht="12.95" customHeight="1" x14ac:dyDescent="0.25">
      <c r="B59" s="203">
        <v>239</v>
      </c>
      <c r="C59" s="172" t="s">
        <v>10</v>
      </c>
      <c r="D59" s="101">
        <v>137</v>
      </c>
      <c r="E59" s="134">
        <v>1</v>
      </c>
      <c r="F59" s="135" t="s">
        <v>43</v>
      </c>
      <c r="G59" s="136"/>
      <c r="H59" s="137"/>
      <c r="I59" s="137"/>
      <c r="J59" s="138"/>
      <c r="K59" s="139"/>
      <c r="L59" s="137"/>
      <c r="M59" s="163"/>
      <c r="N59" s="140">
        <v>3</v>
      </c>
      <c r="O59" s="137" t="s">
        <v>78</v>
      </c>
      <c r="P59" s="135">
        <f t="shared" si="5"/>
        <v>2.8079999999999998</v>
      </c>
      <c r="Q59" s="139"/>
      <c r="R59" s="137"/>
      <c r="S59" s="163"/>
      <c r="T59" s="179" t="s">
        <v>79</v>
      </c>
    </row>
    <row r="60" spans="2:21" s="3" customFormat="1" ht="12.95" customHeight="1" x14ac:dyDescent="0.25">
      <c r="B60" s="203">
        <v>242</v>
      </c>
      <c r="C60" s="172" t="s">
        <v>10</v>
      </c>
      <c r="D60" s="101">
        <v>140</v>
      </c>
      <c r="E60" s="134">
        <v>1</v>
      </c>
      <c r="F60" s="135" t="s">
        <v>43</v>
      </c>
      <c r="G60" s="136">
        <v>1</v>
      </c>
      <c r="H60" s="141" t="s">
        <v>44</v>
      </c>
      <c r="I60" s="137">
        <f t="shared" si="4"/>
        <v>4.3699999999999992</v>
      </c>
      <c r="J60" s="138">
        <v>2.2999999999999998</v>
      </c>
      <c r="K60" s="139"/>
      <c r="L60" s="137"/>
      <c r="M60" s="163"/>
      <c r="N60" s="140"/>
      <c r="O60" s="137"/>
      <c r="P60" s="135"/>
      <c r="Q60" s="139"/>
      <c r="R60" s="137"/>
      <c r="S60" s="163"/>
      <c r="T60" s="179" t="s">
        <v>73</v>
      </c>
      <c r="U60" s="3">
        <v>1</v>
      </c>
    </row>
    <row r="61" spans="2:21" s="3" customFormat="1" ht="12.95" customHeight="1" x14ac:dyDescent="0.25">
      <c r="B61" s="203">
        <v>243</v>
      </c>
      <c r="C61" s="172" t="s">
        <v>10</v>
      </c>
      <c r="D61" s="101">
        <v>141</v>
      </c>
      <c r="E61" s="134">
        <v>1</v>
      </c>
      <c r="F61" s="135" t="s">
        <v>43</v>
      </c>
      <c r="G61" s="136">
        <v>1</v>
      </c>
      <c r="H61" s="141" t="s">
        <v>44</v>
      </c>
      <c r="I61" s="137">
        <f t="shared" si="4"/>
        <v>4.3699999999999992</v>
      </c>
      <c r="J61" s="138">
        <v>2.2999999999999998</v>
      </c>
      <c r="K61" s="139"/>
      <c r="L61" s="137"/>
      <c r="M61" s="163"/>
      <c r="N61" s="140"/>
      <c r="O61" s="137"/>
      <c r="P61" s="135"/>
      <c r="Q61" s="139"/>
      <c r="R61" s="137"/>
      <c r="S61" s="163"/>
      <c r="T61" s="179" t="s">
        <v>73</v>
      </c>
      <c r="U61" s="3">
        <v>1</v>
      </c>
    </row>
    <row r="62" spans="2:21" s="3" customFormat="1" ht="12.95" customHeight="1" x14ac:dyDescent="0.25">
      <c r="B62" s="203">
        <v>244</v>
      </c>
      <c r="C62" s="172" t="s">
        <v>10</v>
      </c>
      <c r="D62" s="101">
        <v>142</v>
      </c>
      <c r="E62" s="134">
        <v>1</v>
      </c>
      <c r="F62" s="135" t="s">
        <v>43</v>
      </c>
      <c r="G62" s="136">
        <v>1</v>
      </c>
      <c r="H62" s="141" t="s">
        <v>44</v>
      </c>
      <c r="I62" s="137">
        <f t="shared" si="4"/>
        <v>4.3699999999999992</v>
      </c>
      <c r="J62" s="138">
        <v>2.2999999999999998</v>
      </c>
      <c r="K62" s="139"/>
      <c r="L62" s="137"/>
      <c r="M62" s="163"/>
      <c r="N62" s="140"/>
      <c r="O62" s="137"/>
      <c r="P62" s="135"/>
      <c r="Q62" s="139"/>
      <c r="R62" s="137"/>
      <c r="S62" s="163"/>
      <c r="T62" s="179" t="s">
        <v>73</v>
      </c>
      <c r="U62" s="3">
        <v>1</v>
      </c>
    </row>
    <row r="63" spans="2:21" s="3" customFormat="1" ht="12.95" customHeight="1" x14ac:dyDescent="0.25">
      <c r="B63" s="203">
        <v>245</v>
      </c>
      <c r="C63" s="172" t="s">
        <v>10</v>
      </c>
      <c r="D63" s="101">
        <v>143</v>
      </c>
      <c r="E63" s="134">
        <v>1</v>
      </c>
      <c r="F63" s="135" t="s">
        <v>43</v>
      </c>
      <c r="G63" s="136">
        <v>1</v>
      </c>
      <c r="H63" s="141" t="s">
        <v>44</v>
      </c>
      <c r="I63" s="137">
        <f t="shared" si="4"/>
        <v>4.3699999999999992</v>
      </c>
      <c r="J63" s="138">
        <v>2.2999999999999998</v>
      </c>
      <c r="K63" s="139"/>
      <c r="L63" s="137"/>
      <c r="M63" s="163"/>
      <c r="N63" s="140"/>
      <c r="O63" s="137"/>
      <c r="P63" s="135"/>
      <c r="Q63" s="139"/>
      <c r="R63" s="137"/>
      <c r="S63" s="163"/>
      <c r="T63" s="179" t="s">
        <v>73</v>
      </c>
      <c r="U63" s="3">
        <v>1</v>
      </c>
    </row>
    <row r="64" spans="2:21" s="3" customFormat="1" ht="12.95" customHeight="1" x14ac:dyDescent="0.25">
      <c r="B64" s="203"/>
      <c r="C64" s="305" t="s">
        <v>54</v>
      </c>
      <c r="D64" s="306"/>
      <c r="E64" s="150"/>
      <c r="F64" s="151">
        <f>SUM(F29:F63)</f>
        <v>0</v>
      </c>
      <c r="G64" s="152">
        <f>SUM(G29:G63)</f>
        <v>24</v>
      </c>
      <c r="H64" s="153" t="s">
        <v>55</v>
      </c>
      <c r="I64" s="154">
        <f>SUM(I29:I63)</f>
        <v>106.02000000000001</v>
      </c>
      <c r="J64" s="155">
        <f>SUM(J29:J63)</f>
        <v>55.799999999999976</v>
      </c>
      <c r="K64" s="152">
        <f t="shared" ref="K64:S64" si="6">SUM(K29:K63)</f>
        <v>0</v>
      </c>
      <c r="L64" s="154" t="s">
        <v>80</v>
      </c>
      <c r="M64" s="165">
        <f t="shared" si="6"/>
        <v>0</v>
      </c>
      <c r="N64" s="152">
        <f t="shared" si="6"/>
        <v>13</v>
      </c>
      <c r="O64" s="154">
        <f t="shared" si="6"/>
        <v>0</v>
      </c>
      <c r="P64" s="155">
        <f t="shared" si="6"/>
        <v>15.191999999999998</v>
      </c>
      <c r="Q64" s="152">
        <f t="shared" si="6"/>
        <v>1</v>
      </c>
      <c r="R64" s="154" t="s">
        <v>80</v>
      </c>
      <c r="S64" s="165">
        <f t="shared" si="6"/>
        <v>3.63</v>
      </c>
      <c r="T64" s="179"/>
    </row>
    <row r="65" spans="1:21" s="3" customFormat="1" ht="12.95" customHeight="1" x14ac:dyDescent="0.25">
      <c r="B65" s="206"/>
      <c r="C65" s="356" t="s">
        <v>52</v>
      </c>
      <c r="D65" s="357"/>
      <c r="E65" s="156"/>
      <c r="F65" s="156"/>
      <c r="G65" s="156"/>
      <c r="H65" s="156"/>
      <c r="I65" s="156"/>
      <c r="J65" s="156"/>
      <c r="K65" s="157"/>
      <c r="L65" s="156"/>
      <c r="M65" s="168"/>
      <c r="N65" s="157"/>
      <c r="O65" s="156"/>
      <c r="P65" s="156"/>
      <c r="Q65" s="157"/>
      <c r="R65" s="156"/>
      <c r="S65" s="166"/>
      <c r="T65" s="179"/>
    </row>
    <row r="66" spans="1:21" s="3" customFormat="1" ht="12.95" customHeight="1" x14ac:dyDescent="0.25">
      <c r="A66" s="5"/>
      <c r="B66" s="203">
        <v>301</v>
      </c>
      <c r="C66" s="172" t="s">
        <v>10</v>
      </c>
      <c r="D66" s="101">
        <v>203</v>
      </c>
      <c r="E66" s="134">
        <v>1</v>
      </c>
      <c r="F66" s="135" t="s">
        <v>43</v>
      </c>
      <c r="G66" s="136">
        <v>1</v>
      </c>
      <c r="H66" s="141" t="s">
        <v>44</v>
      </c>
      <c r="I66" s="137">
        <f>2.3*1.9</f>
        <v>4.3699999999999992</v>
      </c>
      <c r="J66" s="138">
        <v>2.2999999999999998</v>
      </c>
      <c r="K66" s="139"/>
      <c r="L66" s="137"/>
      <c r="M66" s="163"/>
      <c r="N66" s="140"/>
      <c r="O66" s="137"/>
      <c r="P66" s="135"/>
      <c r="Q66" s="139"/>
      <c r="R66" s="137"/>
      <c r="S66" s="163"/>
      <c r="T66" s="179" t="s">
        <v>73</v>
      </c>
      <c r="U66" s="3">
        <v>1</v>
      </c>
    </row>
    <row r="67" spans="1:21" s="3" customFormat="1" ht="12.95" customHeight="1" x14ac:dyDescent="0.25">
      <c r="A67" s="5"/>
      <c r="B67" s="203">
        <v>302</v>
      </c>
      <c r="C67" s="172" t="s">
        <v>10</v>
      </c>
      <c r="D67" s="101">
        <v>204</v>
      </c>
      <c r="E67" s="134">
        <v>1</v>
      </c>
      <c r="F67" s="135" t="s">
        <v>43</v>
      </c>
      <c r="G67" s="136">
        <v>1</v>
      </c>
      <c r="H67" s="141" t="s">
        <v>44</v>
      </c>
      <c r="I67" s="137">
        <f>2.3*1.9</f>
        <v>4.3699999999999992</v>
      </c>
      <c r="J67" s="138">
        <v>2.2999999999999998</v>
      </c>
      <c r="K67" s="139"/>
      <c r="L67" s="137"/>
      <c r="M67" s="163"/>
      <c r="N67" s="140"/>
      <c r="O67" s="137"/>
      <c r="P67" s="135"/>
      <c r="Q67" s="139"/>
      <c r="R67" s="137"/>
      <c r="S67" s="163"/>
      <c r="T67" s="179" t="s">
        <v>73</v>
      </c>
      <c r="U67" s="3">
        <v>1</v>
      </c>
    </row>
    <row r="68" spans="1:21" s="3" customFormat="1" ht="12.95" customHeight="1" x14ac:dyDescent="0.25">
      <c r="A68" s="5"/>
      <c r="B68" s="203">
        <v>303</v>
      </c>
      <c r="C68" s="172" t="s">
        <v>10</v>
      </c>
      <c r="D68" s="101">
        <v>205</v>
      </c>
      <c r="E68" s="134">
        <v>4</v>
      </c>
      <c r="F68" s="135" t="s">
        <v>47</v>
      </c>
      <c r="G68" s="136">
        <v>2</v>
      </c>
      <c r="H68" s="137" t="s">
        <v>60</v>
      </c>
      <c r="I68" s="137">
        <f>3.1*1.9*2</f>
        <v>11.78</v>
      </c>
      <c r="J68" s="138">
        <f>2*3.1</f>
        <v>6.2</v>
      </c>
      <c r="K68" s="139"/>
      <c r="L68" s="137"/>
      <c r="M68" s="163"/>
      <c r="N68" s="140"/>
      <c r="O68" s="137"/>
      <c r="P68" s="135"/>
      <c r="Q68" s="139"/>
      <c r="R68" s="137"/>
      <c r="S68" s="163"/>
      <c r="T68" s="179" t="s">
        <v>73</v>
      </c>
      <c r="U68" s="3">
        <v>2</v>
      </c>
    </row>
    <row r="69" spans="1:21" s="3" customFormat="1" ht="12.95" customHeight="1" x14ac:dyDescent="0.25">
      <c r="A69" s="5"/>
      <c r="B69" s="203">
        <v>305</v>
      </c>
      <c r="C69" s="172" t="s">
        <v>10</v>
      </c>
      <c r="D69" s="101">
        <v>206</v>
      </c>
      <c r="E69" s="134">
        <v>1</v>
      </c>
      <c r="F69" s="135" t="s">
        <v>43</v>
      </c>
      <c r="G69" s="136">
        <v>1</v>
      </c>
      <c r="H69" s="141" t="s">
        <v>44</v>
      </c>
      <c r="I69" s="137">
        <f t="shared" ref="I69:I96" si="7">2.3*1.9</f>
        <v>4.3699999999999992</v>
      </c>
      <c r="J69" s="138">
        <v>2.2999999999999998</v>
      </c>
      <c r="K69" s="139"/>
      <c r="L69" s="137"/>
      <c r="M69" s="163"/>
      <c r="N69" s="140"/>
      <c r="O69" s="137"/>
      <c r="P69" s="135"/>
      <c r="Q69" s="139"/>
      <c r="R69" s="137"/>
      <c r="S69" s="163"/>
      <c r="T69" s="179" t="s">
        <v>73</v>
      </c>
      <c r="U69" s="3">
        <v>1</v>
      </c>
    </row>
    <row r="70" spans="1:21" s="3" customFormat="1" ht="12.95" customHeight="1" x14ac:dyDescent="0.25">
      <c r="A70" s="5"/>
      <c r="B70" s="297" t="s">
        <v>15</v>
      </c>
      <c r="C70" s="298" t="s">
        <v>10</v>
      </c>
      <c r="D70" s="303">
        <v>207</v>
      </c>
      <c r="E70" s="134">
        <v>1</v>
      </c>
      <c r="F70" s="135" t="s">
        <v>43</v>
      </c>
      <c r="G70" s="136">
        <v>1</v>
      </c>
      <c r="H70" s="141" t="s">
        <v>44</v>
      </c>
      <c r="I70" s="137">
        <f>2.3*1.9</f>
        <v>4.3699999999999992</v>
      </c>
      <c r="J70" s="138">
        <v>2.2999999999999998</v>
      </c>
      <c r="K70" s="139"/>
      <c r="L70" s="137"/>
      <c r="M70" s="163"/>
      <c r="N70" s="140"/>
      <c r="O70" s="137"/>
      <c r="P70" s="135"/>
      <c r="Q70" s="139"/>
      <c r="R70" s="137"/>
      <c r="S70" s="163"/>
      <c r="T70" s="179" t="s">
        <v>73</v>
      </c>
      <c r="U70" s="3">
        <v>1</v>
      </c>
    </row>
    <row r="71" spans="1:21" s="3" customFormat="1" ht="12.95" customHeight="1" x14ac:dyDescent="0.25">
      <c r="A71" s="5"/>
      <c r="B71" s="297"/>
      <c r="C71" s="299"/>
      <c r="D71" s="304"/>
      <c r="E71" s="158">
        <v>1</v>
      </c>
      <c r="F71" s="135" t="s">
        <v>81</v>
      </c>
      <c r="G71" s="136">
        <v>1</v>
      </c>
      <c r="H71" s="137" t="s">
        <v>59</v>
      </c>
      <c r="I71" s="137">
        <f>1.7*1.9</f>
        <v>3.23</v>
      </c>
      <c r="J71" s="138">
        <v>1.7</v>
      </c>
      <c r="K71" s="139"/>
      <c r="L71" s="137"/>
      <c r="M71" s="163"/>
      <c r="N71" s="140"/>
      <c r="O71" s="137"/>
      <c r="P71" s="135"/>
      <c r="Q71" s="139"/>
      <c r="R71" s="137"/>
      <c r="S71" s="163"/>
      <c r="T71" s="179" t="s">
        <v>73</v>
      </c>
      <c r="U71" s="3">
        <v>1</v>
      </c>
    </row>
    <row r="72" spans="1:21" s="3" customFormat="1" ht="12.95" customHeight="1" x14ac:dyDescent="0.25">
      <c r="A72" s="5"/>
      <c r="B72" s="203">
        <v>306</v>
      </c>
      <c r="C72" s="172" t="s">
        <v>10</v>
      </c>
      <c r="D72" s="101">
        <v>208</v>
      </c>
      <c r="E72" s="134">
        <v>1</v>
      </c>
      <c r="F72" s="135" t="s">
        <v>43</v>
      </c>
      <c r="G72" s="136">
        <v>1</v>
      </c>
      <c r="H72" s="141" t="s">
        <v>44</v>
      </c>
      <c r="I72" s="137">
        <f t="shared" si="7"/>
        <v>4.3699999999999992</v>
      </c>
      <c r="J72" s="138">
        <v>2.2999999999999998</v>
      </c>
      <c r="K72" s="139"/>
      <c r="L72" s="137"/>
      <c r="M72" s="163"/>
      <c r="N72" s="140"/>
      <c r="O72" s="137"/>
      <c r="P72" s="135"/>
      <c r="Q72" s="139"/>
      <c r="R72" s="137"/>
      <c r="S72" s="163"/>
      <c r="T72" s="179" t="s">
        <v>73</v>
      </c>
      <c r="U72" s="3">
        <v>1</v>
      </c>
    </row>
    <row r="73" spans="1:21" s="3" customFormat="1" ht="12.95" customHeight="1" x14ac:dyDescent="0.25">
      <c r="A73" s="5"/>
      <c r="B73" s="203">
        <v>307</v>
      </c>
      <c r="C73" s="172" t="s">
        <v>10</v>
      </c>
      <c r="D73" s="101">
        <v>209</v>
      </c>
      <c r="E73" s="134">
        <v>1</v>
      </c>
      <c r="F73" s="135" t="s">
        <v>43</v>
      </c>
      <c r="G73" s="136">
        <v>1</v>
      </c>
      <c r="H73" s="141" t="s">
        <v>44</v>
      </c>
      <c r="I73" s="137">
        <f t="shared" si="7"/>
        <v>4.3699999999999992</v>
      </c>
      <c r="J73" s="138">
        <v>2.2999999999999998</v>
      </c>
      <c r="K73" s="139"/>
      <c r="L73" s="137"/>
      <c r="M73" s="163"/>
      <c r="N73" s="140"/>
      <c r="O73" s="137"/>
      <c r="P73" s="135"/>
      <c r="Q73" s="139"/>
      <c r="R73" s="137"/>
      <c r="S73" s="163"/>
      <c r="T73" s="179" t="s">
        <v>73</v>
      </c>
      <c r="U73" s="3">
        <v>1</v>
      </c>
    </row>
    <row r="74" spans="1:21" s="3" customFormat="1" ht="12.95" customHeight="1" x14ac:dyDescent="0.25">
      <c r="A74" s="5"/>
      <c r="B74" s="203">
        <v>308</v>
      </c>
      <c r="C74" s="172" t="s">
        <v>10</v>
      </c>
      <c r="D74" s="101">
        <v>210</v>
      </c>
      <c r="E74" s="134">
        <v>1</v>
      </c>
      <c r="F74" s="135" t="s">
        <v>43</v>
      </c>
      <c r="G74" s="136">
        <v>1</v>
      </c>
      <c r="H74" s="141" t="s">
        <v>44</v>
      </c>
      <c r="I74" s="137">
        <f t="shared" si="7"/>
        <v>4.3699999999999992</v>
      </c>
      <c r="J74" s="138">
        <v>2.2999999999999998</v>
      </c>
      <c r="K74" s="139"/>
      <c r="L74" s="137"/>
      <c r="M74" s="163"/>
      <c r="N74" s="140"/>
      <c r="O74" s="137"/>
      <c r="P74" s="135"/>
      <c r="Q74" s="139"/>
      <c r="R74" s="137"/>
      <c r="S74" s="163"/>
      <c r="T74" s="179" t="s">
        <v>73</v>
      </c>
      <c r="U74" s="3">
        <v>1</v>
      </c>
    </row>
    <row r="75" spans="1:21" s="3" customFormat="1" ht="12.95" customHeight="1" x14ac:dyDescent="0.25">
      <c r="A75" s="5"/>
      <c r="B75" s="203">
        <v>309</v>
      </c>
      <c r="C75" s="174" t="s">
        <v>10</v>
      </c>
      <c r="D75" s="101">
        <v>211</v>
      </c>
      <c r="E75" s="134">
        <v>1</v>
      </c>
      <c r="F75" s="135" t="s">
        <v>43</v>
      </c>
      <c r="G75" s="136">
        <v>1</v>
      </c>
      <c r="H75" s="141" t="s">
        <v>44</v>
      </c>
      <c r="I75" s="137">
        <f t="shared" si="7"/>
        <v>4.3699999999999992</v>
      </c>
      <c r="J75" s="138">
        <v>2.2999999999999998</v>
      </c>
      <c r="K75" s="139"/>
      <c r="L75" s="137"/>
      <c r="M75" s="163"/>
      <c r="N75" s="140"/>
      <c r="O75" s="137"/>
      <c r="P75" s="135"/>
      <c r="Q75" s="139"/>
      <c r="R75" s="137"/>
      <c r="S75" s="163"/>
      <c r="T75" s="179" t="s">
        <v>73</v>
      </c>
      <c r="U75" s="3">
        <v>1</v>
      </c>
    </row>
    <row r="76" spans="1:21" s="3" customFormat="1" ht="12.95" customHeight="1" x14ac:dyDescent="0.25">
      <c r="A76" s="5"/>
      <c r="B76" s="203">
        <v>310</v>
      </c>
      <c r="C76" s="172" t="s">
        <v>10</v>
      </c>
      <c r="D76" s="101">
        <v>212</v>
      </c>
      <c r="E76" s="134">
        <v>1</v>
      </c>
      <c r="F76" s="135" t="s">
        <v>43</v>
      </c>
      <c r="G76" s="136">
        <v>1</v>
      </c>
      <c r="H76" s="141" t="s">
        <v>44</v>
      </c>
      <c r="I76" s="137">
        <f t="shared" si="7"/>
        <v>4.3699999999999992</v>
      </c>
      <c r="J76" s="138">
        <v>2.2999999999999998</v>
      </c>
      <c r="K76" s="139"/>
      <c r="L76" s="137"/>
      <c r="M76" s="163"/>
      <c r="N76" s="140"/>
      <c r="O76" s="137"/>
      <c r="P76" s="135"/>
      <c r="Q76" s="139"/>
      <c r="R76" s="137"/>
      <c r="S76" s="163"/>
      <c r="T76" s="179" t="s">
        <v>73</v>
      </c>
      <c r="U76" s="3">
        <v>1</v>
      </c>
    </row>
    <row r="77" spans="1:21" s="3" customFormat="1" ht="12.95" customHeight="1" x14ac:dyDescent="0.25">
      <c r="A77" s="5"/>
      <c r="B77" s="203">
        <v>311</v>
      </c>
      <c r="C77" s="172" t="s">
        <v>10</v>
      </c>
      <c r="D77" s="101">
        <v>213</v>
      </c>
      <c r="E77" s="134">
        <v>1</v>
      </c>
      <c r="F77" s="135" t="s">
        <v>43</v>
      </c>
      <c r="G77" s="136">
        <v>1</v>
      </c>
      <c r="H77" s="141" t="s">
        <v>44</v>
      </c>
      <c r="I77" s="137">
        <f t="shared" si="7"/>
        <v>4.3699999999999992</v>
      </c>
      <c r="J77" s="138">
        <v>2.2999999999999998</v>
      </c>
      <c r="K77" s="139"/>
      <c r="L77" s="137"/>
      <c r="M77" s="163"/>
      <c r="N77" s="140"/>
      <c r="O77" s="137"/>
      <c r="P77" s="135"/>
      <c r="Q77" s="139"/>
      <c r="R77" s="137"/>
      <c r="S77" s="163"/>
      <c r="T77" s="179" t="s">
        <v>73</v>
      </c>
      <c r="U77" s="3">
        <v>1</v>
      </c>
    </row>
    <row r="78" spans="1:21" s="3" customFormat="1" ht="12.95" customHeight="1" x14ac:dyDescent="0.25">
      <c r="A78" s="5"/>
      <c r="B78" s="203">
        <v>312</v>
      </c>
      <c r="C78" s="172" t="s">
        <v>10</v>
      </c>
      <c r="D78" s="101">
        <v>214</v>
      </c>
      <c r="E78" s="134">
        <v>1</v>
      </c>
      <c r="F78" s="135" t="s">
        <v>43</v>
      </c>
      <c r="G78" s="136">
        <v>1</v>
      </c>
      <c r="H78" s="141" t="s">
        <v>44</v>
      </c>
      <c r="I78" s="137">
        <f t="shared" si="7"/>
        <v>4.3699999999999992</v>
      </c>
      <c r="J78" s="138">
        <v>2.2999999999999998</v>
      </c>
      <c r="K78" s="139"/>
      <c r="L78" s="137"/>
      <c r="M78" s="163"/>
      <c r="N78" s="140"/>
      <c r="O78" s="137"/>
      <c r="P78" s="135"/>
      <c r="Q78" s="139"/>
      <c r="R78" s="137"/>
      <c r="S78" s="163"/>
      <c r="T78" s="179" t="s">
        <v>73</v>
      </c>
      <c r="U78" s="3">
        <v>1</v>
      </c>
    </row>
    <row r="79" spans="1:21" s="3" customFormat="1" ht="12.95" customHeight="1" x14ac:dyDescent="0.25">
      <c r="A79" s="5"/>
      <c r="B79" s="203">
        <v>313</v>
      </c>
      <c r="C79" s="172" t="s">
        <v>10</v>
      </c>
      <c r="D79" s="101">
        <v>215</v>
      </c>
      <c r="E79" s="134">
        <v>1</v>
      </c>
      <c r="F79" s="135" t="s">
        <v>43</v>
      </c>
      <c r="G79" s="136">
        <v>1</v>
      </c>
      <c r="H79" s="141" t="s">
        <v>44</v>
      </c>
      <c r="I79" s="137">
        <f t="shared" si="7"/>
        <v>4.3699999999999992</v>
      </c>
      <c r="J79" s="138">
        <v>2.2999999999999998</v>
      </c>
      <c r="K79" s="139"/>
      <c r="L79" s="137"/>
      <c r="M79" s="163"/>
      <c r="N79" s="140"/>
      <c r="O79" s="137"/>
      <c r="P79" s="135"/>
      <c r="Q79" s="139"/>
      <c r="R79" s="137"/>
      <c r="S79" s="163"/>
      <c r="T79" s="179" t="s">
        <v>73</v>
      </c>
      <c r="U79" s="3">
        <v>1</v>
      </c>
    </row>
    <row r="80" spans="1:21" s="3" customFormat="1" ht="12.95" customHeight="1" x14ac:dyDescent="0.25">
      <c r="A80" s="5"/>
      <c r="B80" s="203">
        <v>314</v>
      </c>
      <c r="C80" s="172" t="s">
        <v>18</v>
      </c>
      <c r="D80" s="101">
        <v>217</v>
      </c>
      <c r="E80" s="134">
        <v>3</v>
      </c>
      <c r="F80" s="135" t="s">
        <v>43</v>
      </c>
      <c r="G80" s="136">
        <v>3</v>
      </c>
      <c r="H80" s="141" t="s">
        <v>44</v>
      </c>
      <c r="I80" s="137">
        <f>2.3*1.9*3</f>
        <v>13.109999999999998</v>
      </c>
      <c r="J80" s="138">
        <f>3*2.3</f>
        <v>6.8999999999999995</v>
      </c>
      <c r="K80" s="139"/>
      <c r="L80" s="137"/>
      <c r="M80" s="163"/>
      <c r="N80" s="140"/>
      <c r="O80" s="137"/>
      <c r="P80" s="135"/>
      <c r="Q80" s="139"/>
      <c r="R80" s="137"/>
      <c r="S80" s="163"/>
      <c r="T80" s="179" t="s">
        <v>73</v>
      </c>
      <c r="U80" s="3">
        <v>3</v>
      </c>
    </row>
    <row r="81" spans="1:21" s="3" customFormat="1" ht="12.95" customHeight="1" x14ac:dyDescent="0.25">
      <c r="A81" s="5"/>
      <c r="B81" s="203">
        <v>315</v>
      </c>
      <c r="C81" s="172" t="s">
        <v>17</v>
      </c>
      <c r="D81" s="101">
        <v>216</v>
      </c>
      <c r="E81" s="134">
        <v>1</v>
      </c>
      <c r="F81" s="135" t="s">
        <v>43</v>
      </c>
      <c r="G81" s="136">
        <v>1</v>
      </c>
      <c r="H81" s="141" t="s">
        <v>44</v>
      </c>
      <c r="I81" s="137">
        <f>2.3*1.9*1</f>
        <v>4.3699999999999992</v>
      </c>
      <c r="J81" s="138">
        <v>2.2999999999999998</v>
      </c>
      <c r="K81" s="139"/>
      <c r="L81" s="137"/>
      <c r="M81" s="163"/>
      <c r="N81" s="140"/>
      <c r="O81" s="137"/>
      <c r="P81" s="135"/>
      <c r="Q81" s="139"/>
      <c r="R81" s="137"/>
      <c r="S81" s="163"/>
      <c r="T81" s="179" t="s">
        <v>73</v>
      </c>
      <c r="U81" s="3">
        <v>1</v>
      </c>
    </row>
    <row r="82" spans="1:21" s="3" customFormat="1" ht="12.95" customHeight="1" x14ac:dyDescent="0.25">
      <c r="A82" s="5"/>
      <c r="B82" s="203">
        <v>316</v>
      </c>
      <c r="C82" s="172" t="s">
        <v>16</v>
      </c>
      <c r="D82" s="101">
        <v>218</v>
      </c>
      <c r="E82" s="134">
        <v>1</v>
      </c>
      <c r="F82" s="135" t="s">
        <v>43</v>
      </c>
      <c r="G82" s="136">
        <v>1</v>
      </c>
      <c r="H82" s="141" t="s">
        <v>44</v>
      </c>
      <c r="I82" s="137">
        <f t="shared" si="7"/>
        <v>4.3699999999999992</v>
      </c>
      <c r="J82" s="138">
        <v>2.2999999999999998</v>
      </c>
      <c r="K82" s="139"/>
      <c r="L82" s="137"/>
      <c r="M82" s="163"/>
      <c r="N82" s="140"/>
      <c r="O82" s="137"/>
      <c r="P82" s="135"/>
      <c r="Q82" s="139"/>
      <c r="R82" s="137"/>
      <c r="S82" s="163"/>
      <c r="T82" s="179" t="s">
        <v>73</v>
      </c>
      <c r="U82" s="3">
        <v>1</v>
      </c>
    </row>
    <row r="83" spans="1:21" s="3" customFormat="1" ht="12.95" customHeight="1" x14ac:dyDescent="0.25">
      <c r="A83" s="5"/>
      <c r="B83" s="203">
        <v>317</v>
      </c>
      <c r="C83" s="172" t="s">
        <v>10</v>
      </c>
      <c r="D83" s="101">
        <v>220</v>
      </c>
      <c r="E83" s="134">
        <v>1</v>
      </c>
      <c r="F83" s="135" t="s">
        <v>43</v>
      </c>
      <c r="G83" s="136">
        <v>1</v>
      </c>
      <c r="H83" s="141" t="s">
        <v>44</v>
      </c>
      <c r="I83" s="137">
        <f t="shared" si="7"/>
        <v>4.3699999999999992</v>
      </c>
      <c r="J83" s="138">
        <v>2.2999999999999998</v>
      </c>
      <c r="K83" s="139"/>
      <c r="L83" s="137"/>
      <c r="M83" s="163"/>
      <c r="N83" s="140"/>
      <c r="O83" s="137"/>
      <c r="P83" s="135"/>
      <c r="Q83" s="139"/>
      <c r="R83" s="137"/>
      <c r="S83" s="163"/>
      <c r="T83" s="179" t="s">
        <v>73</v>
      </c>
      <c r="U83" s="3">
        <v>1</v>
      </c>
    </row>
    <row r="84" spans="1:21" s="3" customFormat="1" ht="12.95" customHeight="1" x14ac:dyDescent="0.25">
      <c r="A84" s="5"/>
      <c r="B84" s="203">
        <v>318</v>
      </c>
      <c r="C84" s="172" t="s">
        <v>10</v>
      </c>
      <c r="D84" s="101">
        <v>221</v>
      </c>
      <c r="E84" s="134">
        <v>1</v>
      </c>
      <c r="F84" s="135" t="s">
        <v>43</v>
      </c>
      <c r="G84" s="136">
        <v>1</v>
      </c>
      <c r="H84" s="141" t="s">
        <v>44</v>
      </c>
      <c r="I84" s="137">
        <f t="shared" si="7"/>
        <v>4.3699999999999992</v>
      </c>
      <c r="J84" s="138">
        <v>2.2999999999999998</v>
      </c>
      <c r="K84" s="139"/>
      <c r="L84" s="137"/>
      <c r="M84" s="163"/>
      <c r="N84" s="140"/>
      <c r="O84" s="137"/>
      <c r="P84" s="135"/>
      <c r="Q84" s="139"/>
      <c r="R84" s="137"/>
      <c r="S84" s="163"/>
      <c r="T84" s="179" t="s">
        <v>73</v>
      </c>
      <c r="U84" s="3">
        <v>1</v>
      </c>
    </row>
    <row r="85" spans="1:21" s="3" customFormat="1" ht="12.95" customHeight="1" x14ac:dyDescent="0.25">
      <c r="A85" s="5"/>
      <c r="B85" s="203">
        <v>319</v>
      </c>
      <c r="C85" s="172" t="s">
        <v>10</v>
      </c>
      <c r="D85" s="101">
        <v>222</v>
      </c>
      <c r="E85" s="134">
        <v>1</v>
      </c>
      <c r="F85" s="135" t="s">
        <v>43</v>
      </c>
      <c r="G85" s="136">
        <v>1</v>
      </c>
      <c r="H85" s="141" t="s">
        <v>44</v>
      </c>
      <c r="I85" s="137">
        <f t="shared" si="7"/>
        <v>4.3699999999999992</v>
      </c>
      <c r="J85" s="138">
        <v>2.2999999999999998</v>
      </c>
      <c r="K85" s="139"/>
      <c r="L85" s="137"/>
      <c r="M85" s="163"/>
      <c r="N85" s="140"/>
      <c r="O85" s="137"/>
      <c r="P85" s="135"/>
      <c r="Q85" s="139"/>
      <c r="R85" s="137"/>
      <c r="S85" s="163"/>
      <c r="T85" s="179" t="s">
        <v>73</v>
      </c>
      <c r="U85" s="3">
        <v>1</v>
      </c>
    </row>
    <row r="86" spans="1:21" s="3" customFormat="1" ht="12.95" customHeight="1" x14ac:dyDescent="0.25">
      <c r="A86" s="5"/>
      <c r="B86" s="203">
        <v>320</v>
      </c>
      <c r="C86" s="172" t="s">
        <v>10</v>
      </c>
      <c r="D86" s="101">
        <v>223</v>
      </c>
      <c r="E86" s="134">
        <v>1</v>
      </c>
      <c r="F86" s="135" t="s">
        <v>43</v>
      </c>
      <c r="G86" s="136">
        <v>1</v>
      </c>
      <c r="H86" s="141" t="s">
        <v>44</v>
      </c>
      <c r="I86" s="137">
        <f t="shared" si="7"/>
        <v>4.3699999999999992</v>
      </c>
      <c r="J86" s="138">
        <v>2.2999999999999998</v>
      </c>
      <c r="K86" s="139"/>
      <c r="L86" s="137"/>
      <c r="M86" s="163"/>
      <c r="N86" s="140"/>
      <c r="O86" s="137"/>
      <c r="P86" s="135"/>
      <c r="Q86" s="139"/>
      <c r="R86" s="137"/>
      <c r="S86" s="163"/>
      <c r="T86" s="179" t="s">
        <v>73</v>
      </c>
      <c r="U86" s="3">
        <v>1</v>
      </c>
    </row>
    <row r="87" spans="1:21" s="3" customFormat="1" ht="12.95" customHeight="1" x14ac:dyDescent="0.25">
      <c r="A87" s="5"/>
      <c r="B87" s="203">
        <v>321</v>
      </c>
      <c r="C87" s="172" t="s">
        <v>10</v>
      </c>
      <c r="D87" s="101">
        <v>226</v>
      </c>
      <c r="E87" s="134">
        <v>1</v>
      </c>
      <c r="F87" s="135" t="s">
        <v>43</v>
      </c>
      <c r="G87" s="136">
        <v>1</v>
      </c>
      <c r="H87" s="141" t="s">
        <v>44</v>
      </c>
      <c r="I87" s="137">
        <f t="shared" si="7"/>
        <v>4.3699999999999992</v>
      </c>
      <c r="J87" s="138">
        <v>2.2999999999999998</v>
      </c>
      <c r="K87" s="139"/>
      <c r="L87" s="137"/>
      <c r="M87" s="163"/>
      <c r="N87" s="140"/>
      <c r="O87" s="137"/>
      <c r="P87" s="135"/>
      <c r="Q87" s="139"/>
      <c r="R87" s="137"/>
      <c r="S87" s="163"/>
      <c r="T87" s="179" t="s">
        <v>73</v>
      </c>
      <c r="U87" s="3">
        <v>1</v>
      </c>
    </row>
    <row r="88" spans="1:21" s="3" customFormat="1" ht="12.95" customHeight="1" x14ac:dyDescent="0.25">
      <c r="A88" s="5"/>
      <c r="B88" s="203">
        <v>322</v>
      </c>
      <c r="C88" s="172" t="s">
        <v>10</v>
      </c>
      <c r="D88" s="101">
        <v>225</v>
      </c>
      <c r="E88" s="134">
        <v>1</v>
      </c>
      <c r="F88" s="135" t="s">
        <v>43</v>
      </c>
      <c r="G88" s="136">
        <v>1</v>
      </c>
      <c r="H88" s="141" t="s">
        <v>44</v>
      </c>
      <c r="I88" s="137">
        <f t="shared" si="7"/>
        <v>4.3699999999999992</v>
      </c>
      <c r="J88" s="138">
        <v>2.2999999999999998</v>
      </c>
      <c r="K88" s="139"/>
      <c r="L88" s="137"/>
      <c r="M88" s="163"/>
      <c r="N88" s="140"/>
      <c r="O88" s="137"/>
      <c r="P88" s="135"/>
      <c r="Q88" s="139"/>
      <c r="R88" s="137"/>
      <c r="S88" s="163"/>
      <c r="T88" s="179" t="s">
        <v>73</v>
      </c>
      <c r="U88" s="3">
        <v>1</v>
      </c>
    </row>
    <row r="89" spans="1:21" s="3" customFormat="1" ht="12.95" customHeight="1" x14ac:dyDescent="0.25">
      <c r="A89" s="5"/>
      <c r="B89" s="203">
        <v>323</v>
      </c>
      <c r="C89" s="172" t="s">
        <v>10</v>
      </c>
      <c r="D89" s="101">
        <v>228</v>
      </c>
      <c r="E89" s="134">
        <v>1</v>
      </c>
      <c r="F89" s="135" t="s">
        <v>43</v>
      </c>
      <c r="G89" s="136"/>
      <c r="H89" s="137"/>
      <c r="I89" s="137"/>
      <c r="J89" s="138"/>
      <c r="K89" s="139"/>
      <c r="L89" s="137"/>
      <c r="M89" s="163"/>
      <c r="N89" s="140">
        <v>3</v>
      </c>
      <c r="O89" s="137" t="s">
        <v>78</v>
      </c>
      <c r="P89" s="135">
        <f>0.65*1.44*N89</f>
        <v>2.8079999999999998</v>
      </c>
      <c r="Q89" s="139"/>
      <c r="R89" s="137"/>
      <c r="S89" s="163"/>
      <c r="T89" s="179" t="s">
        <v>79</v>
      </c>
    </row>
    <row r="90" spans="1:21" s="3" customFormat="1" ht="12.95" customHeight="1" x14ac:dyDescent="0.25">
      <c r="A90" s="5"/>
      <c r="B90" s="203">
        <v>324</v>
      </c>
      <c r="C90" s="172" t="s">
        <v>10</v>
      </c>
      <c r="D90" s="101">
        <v>227</v>
      </c>
      <c r="E90" s="134">
        <v>1</v>
      </c>
      <c r="F90" s="135" t="s">
        <v>43</v>
      </c>
      <c r="G90" s="136"/>
      <c r="H90" s="137"/>
      <c r="I90" s="137"/>
      <c r="J90" s="138"/>
      <c r="K90" s="139"/>
      <c r="L90" s="137"/>
      <c r="M90" s="163"/>
      <c r="N90" s="140">
        <v>3</v>
      </c>
      <c r="O90" s="137" t="s">
        <v>78</v>
      </c>
      <c r="P90" s="135">
        <f t="shared" ref="P90:P92" si="8">0.65*1.44*N90</f>
        <v>2.8079999999999998</v>
      </c>
      <c r="Q90" s="139"/>
      <c r="R90" s="137"/>
      <c r="S90" s="163"/>
      <c r="T90" s="179" t="s">
        <v>79</v>
      </c>
    </row>
    <row r="91" spans="1:21" s="3" customFormat="1" ht="12.95" customHeight="1" x14ac:dyDescent="0.25">
      <c r="A91" s="5"/>
      <c r="B91" s="203">
        <v>325</v>
      </c>
      <c r="C91" s="172" t="s">
        <v>10</v>
      </c>
      <c r="D91" s="101">
        <v>229</v>
      </c>
      <c r="E91" s="134">
        <v>1</v>
      </c>
      <c r="F91" s="135" t="s">
        <v>43</v>
      </c>
      <c r="G91" s="136"/>
      <c r="H91" s="137"/>
      <c r="I91" s="137"/>
      <c r="J91" s="138"/>
      <c r="K91" s="139"/>
      <c r="L91" s="137"/>
      <c r="M91" s="163"/>
      <c r="N91" s="140">
        <v>3</v>
      </c>
      <c r="O91" s="137" t="s">
        <v>78</v>
      </c>
      <c r="P91" s="135">
        <f t="shared" si="8"/>
        <v>2.8079999999999998</v>
      </c>
      <c r="Q91" s="139"/>
      <c r="R91" s="137"/>
      <c r="S91" s="163"/>
      <c r="T91" s="179" t="s">
        <v>79</v>
      </c>
    </row>
    <row r="92" spans="1:21" s="3" customFormat="1" ht="12.95" customHeight="1" x14ac:dyDescent="0.25">
      <c r="A92" s="5"/>
      <c r="B92" s="203">
        <v>326</v>
      </c>
      <c r="C92" s="172" t="s">
        <v>10</v>
      </c>
      <c r="D92" s="101">
        <v>230</v>
      </c>
      <c r="E92" s="134">
        <v>1</v>
      </c>
      <c r="F92" s="135" t="s">
        <v>43</v>
      </c>
      <c r="G92" s="136"/>
      <c r="H92" s="137"/>
      <c r="I92" s="137"/>
      <c r="J92" s="138"/>
      <c r="K92" s="139"/>
      <c r="L92" s="137"/>
      <c r="M92" s="163"/>
      <c r="N92" s="140">
        <v>3</v>
      </c>
      <c r="O92" s="137" t="s">
        <v>78</v>
      </c>
      <c r="P92" s="135">
        <f t="shared" si="8"/>
        <v>2.8079999999999998</v>
      </c>
      <c r="Q92" s="139"/>
      <c r="R92" s="137"/>
      <c r="S92" s="163"/>
      <c r="T92" s="179" t="s">
        <v>79</v>
      </c>
    </row>
    <row r="93" spans="1:21" s="3" customFormat="1" ht="12.95" customHeight="1" x14ac:dyDescent="0.25">
      <c r="A93" s="5"/>
      <c r="B93" s="203">
        <v>328</v>
      </c>
      <c r="C93" s="172" t="s">
        <v>19</v>
      </c>
      <c r="D93" s="101">
        <v>233</v>
      </c>
      <c r="E93" s="134">
        <v>1</v>
      </c>
      <c r="F93" s="135" t="s">
        <v>43</v>
      </c>
      <c r="G93" s="136">
        <v>1</v>
      </c>
      <c r="H93" s="141" t="s">
        <v>44</v>
      </c>
      <c r="I93" s="137">
        <f t="shared" si="7"/>
        <v>4.3699999999999992</v>
      </c>
      <c r="J93" s="138">
        <v>2.2999999999999998</v>
      </c>
      <c r="K93" s="139"/>
      <c r="L93" s="137"/>
      <c r="M93" s="163"/>
      <c r="N93" s="140"/>
      <c r="O93" s="137"/>
      <c r="P93" s="135"/>
      <c r="Q93" s="139"/>
      <c r="R93" s="137"/>
      <c r="S93" s="163"/>
      <c r="T93" s="179" t="s">
        <v>73</v>
      </c>
      <c r="U93" s="3">
        <v>1</v>
      </c>
    </row>
    <row r="94" spans="1:21" s="3" customFormat="1" ht="12.95" customHeight="1" x14ac:dyDescent="0.25">
      <c r="A94" s="5"/>
      <c r="B94" s="203">
        <v>329</v>
      </c>
      <c r="C94" s="172" t="s">
        <v>20</v>
      </c>
      <c r="D94" s="101">
        <v>234</v>
      </c>
      <c r="E94" s="134">
        <v>1</v>
      </c>
      <c r="F94" s="135" t="s">
        <v>43</v>
      </c>
      <c r="G94" s="136"/>
      <c r="H94" s="141"/>
      <c r="I94" s="137"/>
      <c r="J94" s="138"/>
      <c r="K94" s="139"/>
      <c r="L94" s="137"/>
      <c r="M94" s="163"/>
      <c r="N94" s="140"/>
      <c r="O94" s="137"/>
      <c r="P94" s="135"/>
      <c r="Q94" s="115">
        <v>1</v>
      </c>
      <c r="R94" s="113" t="s">
        <v>77</v>
      </c>
      <c r="S94" s="159">
        <f>2.2*1.65*Q94</f>
        <v>3.63</v>
      </c>
      <c r="T94" s="177" t="s">
        <v>72</v>
      </c>
    </row>
    <row r="95" spans="1:21" s="3" customFormat="1" ht="21.75" customHeight="1" x14ac:dyDescent="0.25">
      <c r="A95" s="5"/>
      <c r="B95" s="203">
        <v>330</v>
      </c>
      <c r="C95" s="172" t="s">
        <v>21</v>
      </c>
      <c r="D95" s="101">
        <v>235</v>
      </c>
      <c r="E95" s="134">
        <v>1</v>
      </c>
      <c r="F95" s="135" t="s">
        <v>43</v>
      </c>
      <c r="G95" s="136">
        <v>1</v>
      </c>
      <c r="H95" s="141" t="s">
        <v>44</v>
      </c>
      <c r="I95" s="137">
        <f t="shared" si="7"/>
        <v>4.3699999999999992</v>
      </c>
      <c r="J95" s="138">
        <v>2.2999999999999998</v>
      </c>
      <c r="K95" s="139"/>
      <c r="L95" s="137"/>
      <c r="M95" s="163"/>
      <c r="N95" s="140"/>
      <c r="O95" s="137"/>
      <c r="P95" s="135"/>
      <c r="Q95" s="139"/>
      <c r="R95" s="137"/>
      <c r="S95" s="163"/>
      <c r="T95" s="179" t="s">
        <v>73</v>
      </c>
      <c r="U95" s="3">
        <v>1</v>
      </c>
    </row>
    <row r="96" spans="1:21" s="3" customFormat="1" ht="12.95" customHeight="1" x14ac:dyDescent="0.25">
      <c r="A96" s="5"/>
      <c r="B96" s="203">
        <v>331</v>
      </c>
      <c r="C96" s="172" t="s">
        <v>22</v>
      </c>
      <c r="D96" s="101">
        <v>236</v>
      </c>
      <c r="E96" s="134">
        <v>1</v>
      </c>
      <c r="F96" s="135" t="s">
        <v>43</v>
      </c>
      <c r="G96" s="136">
        <v>1</v>
      </c>
      <c r="H96" s="141" t="s">
        <v>44</v>
      </c>
      <c r="I96" s="137">
        <f t="shared" si="7"/>
        <v>4.3699999999999992</v>
      </c>
      <c r="J96" s="138">
        <v>2.2999999999999998</v>
      </c>
      <c r="K96" s="139"/>
      <c r="L96" s="137"/>
      <c r="M96" s="163"/>
      <c r="N96" s="140"/>
      <c r="O96" s="137"/>
      <c r="P96" s="135"/>
      <c r="Q96" s="139"/>
      <c r="R96" s="137"/>
      <c r="S96" s="163"/>
      <c r="T96" s="179" t="s">
        <v>73</v>
      </c>
      <c r="U96" s="3">
        <v>1</v>
      </c>
    </row>
    <row r="97" spans="2:21" s="3" customFormat="1" ht="12.95" customHeight="1" thickBot="1" x14ac:dyDescent="0.3">
      <c r="B97" s="203"/>
      <c r="C97" s="341" t="s">
        <v>54</v>
      </c>
      <c r="D97" s="342"/>
      <c r="E97" s="181"/>
      <c r="F97" s="182">
        <f>SUM(F66:F95)</f>
        <v>0</v>
      </c>
      <c r="G97" s="183">
        <f>SUM(G66:G96)</f>
        <v>29</v>
      </c>
      <c r="H97" s="148" t="s">
        <v>55</v>
      </c>
      <c r="I97" s="184">
        <f>SUM(I66:I96)</f>
        <v>128.63000000000002</v>
      </c>
      <c r="J97" s="185">
        <f>SUM(J66:J96)</f>
        <v>67.699999999999974</v>
      </c>
      <c r="K97" s="183">
        <f t="shared" ref="K97:S97" si="9">SUM(K66:K96)</f>
        <v>0</v>
      </c>
      <c r="L97" s="148" t="s">
        <v>82</v>
      </c>
      <c r="M97" s="185">
        <f t="shared" si="9"/>
        <v>0</v>
      </c>
      <c r="N97" s="183">
        <f t="shared" si="9"/>
        <v>12</v>
      </c>
      <c r="O97" s="148" t="s">
        <v>80</v>
      </c>
      <c r="P97" s="186">
        <f t="shared" si="9"/>
        <v>11.231999999999999</v>
      </c>
      <c r="Q97" s="183">
        <f t="shared" si="9"/>
        <v>1</v>
      </c>
      <c r="R97" s="148" t="s">
        <v>83</v>
      </c>
      <c r="S97" s="185">
        <f t="shared" si="9"/>
        <v>3.63</v>
      </c>
      <c r="T97" s="187"/>
    </row>
    <row r="98" spans="2:21" s="3" customFormat="1" ht="12.95" customHeight="1" thickTop="1" thickBot="1" x14ac:dyDescent="0.3">
      <c r="B98" s="207"/>
      <c r="C98" s="358" t="s">
        <v>57</v>
      </c>
      <c r="D98" s="359"/>
      <c r="E98" s="188"/>
      <c r="F98" s="189">
        <f>F97+F64+F27</f>
        <v>0</v>
      </c>
      <c r="G98" s="190">
        <f>G97+G64+G27</f>
        <v>62</v>
      </c>
      <c r="H98" s="191" t="s">
        <v>55</v>
      </c>
      <c r="I98" s="192">
        <f>I97+I64+I27</f>
        <v>266.06200000000001</v>
      </c>
      <c r="J98" s="193">
        <f>J97+J64+J27</f>
        <v>140.29999999999995</v>
      </c>
      <c r="K98" s="194">
        <f>K97+K64+K27+K6+K5</f>
        <v>21</v>
      </c>
      <c r="L98" s="194" t="s">
        <v>134</v>
      </c>
      <c r="M98" s="195">
        <f t="shared" ref="M98" si="10">M97+M64+M27+M6+M5</f>
        <v>21.096</v>
      </c>
      <c r="N98" s="190">
        <f t="shared" ref="N98:S98" si="11">N97+N64+N27</f>
        <v>30</v>
      </c>
      <c r="O98" s="191" t="s">
        <v>83</v>
      </c>
      <c r="P98" s="196">
        <f t="shared" si="11"/>
        <v>46.223999999999997</v>
      </c>
      <c r="Q98" s="190">
        <f t="shared" si="11"/>
        <v>5</v>
      </c>
      <c r="R98" s="191" t="s">
        <v>83</v>
      </c>
      <c r="S98" s="193">
        <f t="shared" si="11"/>
        <v>16.582499999999996</v>
      </c>
      <c r="T98" s="197"/>
      <c r="U98" s="3">
        <f>SUM(U4:U97)</f>
        <v>57</v>
      </c>
    </row>
    <row r="99" spans="2:21" s="3" customFormat="1" ht="32.25" customHeight="1" thickTop="1" thickBot="1" x14ac:dyDescent="0.3">
      <c r="B99" s="201"/>
      <c r="C99" s="335" t="s">
        <v>123</v>
      </c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89"/>
    </row>
    <row r="100" spans="2:21" s="3" customFormat="1" ht="72" customHeight="1" thickTop="1" thickBot="1" x14ac:dyDescent="0.3">
      <c r="B100" s="24"/>
      <c r="C100" s="351" t="s">
        <v>137</v>
      </c>
      <c r="D100" s="352"/>
      <c r="E100" s="352"/>
      <c r="F100" s="353"/>
      <c r="G100" s="21" t="s">
        <v>126</v>
      </c>
      <c r="H100" s="21" t="s">
        <v>138</v>
      </c>
      <c r="I100" s="21" t="s">
        <v>127</v>
      </c>
      <c r="J100" s="22" t="s">
        <v>139</v>
      </c>
      <c r="K100" s="21" t="s">
        <v>126</v>
      </c>
      <c r="L100" s="21" t="s">
        <v>138</v>
      </c>
      <c r="M100" s="21" t="s">
        <v>127</v>
      </c>
      <c r="N100" s="21" t="s">
        <v>126</v>
      </c>
      <c r="O100" s="21" t="s">
        <v>138</v>
      </c>
      <c r="P100" s="21" t="s">
        <v>127</v>
      </c>
      <c r="Q100" s="21" t="s">
        <v>126</v>
      </c>
      <c r="R100" s="21" t="s">
        <v>138</v>
      </c>
      <c r="S100" s="23" t="s">
        <v>127</v>
      </c>
    </row>
    <row r="101" spans="2:21" s="3" customFormat="1" ht="30" customHeight="1" thickTop="1" x14ac:dyDescent="0.25">
      <c r="B101" s="29"/>
      <c r="C101" s="349" t="s">
        <v>136</v>
      </c>
      <c r="D101" s="350"/>
      <c r="E101" s="350"/>
      <c r="F101" s="350"/>
      <c r="G101" s="19"/>
      <c r="H101" s="19"/>
      <c r="I101" s="19"/>
      <c r="J101" s="20"/>
      <c r="K101" s="19"/>
      <c r="L101" s="19"/>
      <c r="M101" s="19"/>
      <c r="N101" s="19"/>
      <c r="O101" s="19"/>
      <c r="P101" s="19"/>
      <c r="Q101" s="19"/>
      <c r="R101" s="19"/>
      <c r="S101" s="18"/>
    </row>
    <row r="102" spans="2:21" s="3" customFormat="1" ht="24.75" customHeight="1" x14ac:dyDescent="0.25">
      <c r="B102" s="30"/>
      <c r="C102" s="320" t="s">
        <v>85</v>
      </c>
      <c r="D102" s="321"/>
      <c r="E102" s="321"/>
      <c r="F102" s="322"/>
      <c r="G102" s="36">
        <f>SUM(G72:G96)+G70+G69+G67+G66+SUM(G39:G63)+SUM(G30:G34)+G15+G14+G13+G12</f>
        <v>53</v>
      </c>
      <c r="H102" s="37" t="s">
        <v>124</v>
      </c>
      <c r="I102" s="92">
        <f>2.3*1.9*G102</f>
        <v>231.60999999999996</v>
      </c>
      <c r="J102" s="93">
        <f>2.3*G102</f>
        <v>121.89999999999999</v>
      </c>
      <c r="K102" s="39"/>
      <c r="L102" s="37"/>
      <c r="M102" s="40"/>
      <c r="N102" s="41"/>
      <c r="O102" s="37"/>
      <c r="P102" s="42"/>
      <c r="Q102" s="36"/>
      <c r="R102" s="37"/>
      <c r="S102" s="42"/>
    </row>
    <row r="103" spans="2:21" s="3" customFormat="1" ht="18.75" customHeight="1" x14ac:dyDescent="0.25">
      <c r="B103" s="31"/>
      <c r="C103" s="323"/>
      <c r="D103" s="324"/>
      <c r="E103" s="324"/>
      <c r="F103" s="325"/>
      <c r="G103" s="36">
        <f>G18</f>
        <v>1</v>
      </c>
      <c r="H103" s="37" t="s">
        <v>125</v>
      </c>
      <c r="I103" s="92">
        <f>4.92*G103</f>
        <v>4.92</v>
      </c>
      <c r="J103" s="93">
        <f>2.3*G103</f>
        <v>2.2999999999999998</v>
      </c>
      <c r="K103" s="39"/>
      <c r="L103" s="37"/>
      <c r="M103" s="40"/>
      <c r="N103" s="41"/>
      <c r="O103" s="37"/>
      <c r="P103" s="42"/>
      <c r="Q103" s="36"/>
      <c r="R103" s="37"/>
      <c r="S103" s="42"/>
    </row>
    <row r="104" spans="2:21" s="3" customFormat="1" ht="15" customHeight="1" x14ac:dyDescent="0.25">
      <c r="B104" s="25"/>
      <c r="C104" s="300" t="s">
        <v>86</v>
      </c>
      <c r="D104" s="301"/>
      <c r="E104" s="301"/>
      <c r="F104" s="302"/>
      <c r="G104" s="43">
        <f>G23+G24</f>
        <v>3</v>
      </c>
      <c r="H104" s="44" t="s">
        <v>129</v>
      </c>
      <c r="I104" s="94">
        <f>1.2*1.7*G104</f>
        <v>6.12</v>
      </c>
      <c r="J104" s="90">
        <f>1.2*G104</f>
        <v>3.5999999999999996</v>
      </c>
      <c r="K104" s="46"/>
      <c r="L104" s="44"/>
      <c r="M104" s="47"/>
      <c r="N104" s="48"/>
      <c r="O104" s="44"/>
      <c r="P104" s="49"/>
      <c r="Q104" s="43"/>
      <c r="R104" s="44"/>
      <c r="S104" s="49"/>
    </row>
    <row r="105" spans="2:21" s="3" customFormat="1" ht="15" customHeight="1" x14ac:dyDescent="0.25">
      <c r="B105" s="30"/>
      <c r="C105" s="320" t="s">
        <v>87</v>
      </c>
      <c r="D105" s="321"/>
      <c r="E105" s="321"/>
      <c r="F105" s="322"/>
      <c r="G105" s="43">
        <v>1</v>
      </c>
      <c r="H105" s="44" t="s">
        <v>130</v>
      </c>
      <c r="I105" s="94">
        <f>1.7*1.7</f>
        <v>2.8899999999999997</v>
      </c>
      <c r="J105" s="90">
        <f>1.7*G105</f>
        <v>1.7</v>
      </c>
      <c r="K105" s="46"/>
      <c r="L105" s="44"/>
      <c r="M105" s="47"/>
      <c r="N105" s="48"/>
      <c r="O105" s="44"/>
      <c r="P105" s="49"/>
      <c r="Q105" s="43"/>
      <c r="R105" s="44"/>
      <c r="S105" s="49"/>
    </row>
    <row r="106" spans="2:21" s="3" customFormat="1" ht="30" x14ac:dyDescent="0.25">
      <c r="B106" s="31"/>
      <c r="C106" s="323"/>
      <c r="D106" s="324"/>
      <c r="E106" s="324"/>
      <c r="F106" s="325"/>
      <c r="G106" s="43">
        <v>1</v>
      </c>
      <c r="H106" s="44" t="s">
        <v>131</v>
      </c>
      <c r="I106" s="94">
        <f>1.7*1.9</f>
        <v>3.23</v>
      </c>
      <c r="J106" s="90">
        <f>1.7*G106</f>
        <v>1.7</v>
      </c>
      <c r="K106" s="46"/>
      <c r="L106" s="44"/>
      <c r="M106" s="47"/>
      <c r="N106" s="48"/>
      <c r="O106" s="44"/>
      <c r="P106" s="49"/>
      <c r="Q106" s="43"/>
      <c r="R106" s="44"/>
      <c r="S106" s="49"/>
    </row>
    <row r="107" spans="2:21" s="3" customFormat="1" ht="15" customHeight="1" x14ac:dyDescent="0.25">
      <c r="B107" s="25"/>
      <c r="C107" s="300" t="s">
        <v>88</v>
      </c>
      <c r="D107" s="301"/>
      <c r="E107" s="301"/>
      <c r="F107" s="302"/>
      <c r="G107" s="43">
        <f>G36</f>
        <v>1</v>
      </c>
      <c r="H107" s="44" t="s">
        <v>132</v>
      </c>
      <c r="I107" s="94">
        <f>2.9*1.9*G107</f>
        <v>5.51</v>
      </c>
      <c r="J107" s="90">
        <f>2.9*G107</f>
        <v>2.9</v>
      </c>
      <c r="K107" s="46"/>
      <c r="L107" s="44"/>
      <c r="M107" s="47"/>
      <c r="N107" s="48"/>
      <c r="O107" s="44"/>
      <c r="P107" s="49"/>
      <c r="Q107" s="43"/>
      <c r="R107" s="44"/>
      <c r="S107" s="49"/>
    </row>
    <row r="108" spans="2:21" s="3" customFormat="1" ht="15" customHeight="1" thickBot="1" x14ac:dyDescent="0.3">
      <c r="B108" s="25"/>
      <c r="C108" s="300" t="s">
        <v>89</v>
      </c>
      <c r="D108" s="301"/>
      <c r="E108" s="301"/>
      <c r="F108" s="302"/>
      <c r="G108" s="76">
        <f>G68</f>
        <v>2</v>
      </c>
      <c r="H108" s="77" t="s">
        <v>133</v>
      </c>
      <c r="I108" s="95">
        <f>3.1*1.9*G108</f>
        <v>11.78</v>
      </c>
      <c r="J108" s="96">
        <f>3.1*G108</f>
        <v>6.2</v>
      </c>
      <c r="K108" s="46"/>
      <c r="L108" s="44"/>
      <c r="M108" s="47"/>
      <c r="N108" s="48"/>
      <c r="O108" s="44"/>
      <c r="P108" s="49"/>
      <c r="Q108" s="43"/>
      <c r="R108" s="44"/>
      <c r="S108" s="49"/>
    </row>
    <row r="109" spans="2:21" s="3" customFormat="1" ht="16.5" thickTop="1" thickBot="1" x14ac:dyDescent="0.3">
      <c r="B109" s="35"/>
      <c r="C109" s="280" t="s">
        <v>128</v>
      </c>
      <c r="D109" s="281"/>
      <c r="E109" s="281"/>
      <c r="F109" s="282"/>
      <c r="G109" s="78">
        <f>SUM(G102:G108)</f>
        <v>62</v>
      </c>
      <c r="H109" s="79" t="s">
        <v>55</v>
      </c>
      <c r="I109" s="97">
        <f>SUM(I102:I108)</f>
        <v>266.05999999999989</v>
      </c>
      <c r="J109" s="98">
        <f>SUM(J102:J108)</f>
        <v>140.29999999999995</v>
      </c>
      <c r="K109" s="55"/>
      <c r="L109" s="51"/>
      <c r="M109" s="52"/>
      <c r="N109" s="53"/>
      <c r="O109" s="51"/>
      <c r="P109" s="54"/>
      <c r="Q109" s="55"/>
      <c r="R109" s="51"/>
      <c r="S109" s="54"/>
    </row>
    <row r="110" spans="2:21" s="3" customFormat="1" ht="27" customHeight="1" thickTop="1" x14ac:dyDescent="0.25">
      <c r="B110" s="32"/>
      <c r="C110" s="343" t="s">
        <v>135</v>
      </c>
      <c r="D110" s="344"/>
      <c r="E110" s="344"/>
      <c r="F110" s="345"/>
      <c r="G110" s="56"/>
      <c r="H110" s="57"/>
      <c r="I110" s="57"/>
      <c r="J110" s="80"/>
      <c r="K110" s="56">
        <v>12</v>
      </c>
      <c r="L110" s="57" t="s">
        <v>67</v>
      </c>
      <c r="M110" s="86">
        <f>0.8*1.44*K110</f>
        <v>13.823999999999998</v>
      </c>
      <c r="N110" s="83"/>
      <c r="O110" s="57"/>
      <c r="P110" s="63"/>
      <c r="Q110" s="56"/>
      <c r="R110" s="57"/>
      <c r="S110" s="58"/>
    </row>
    <row r="111" spans="2:21" s="3" customFormat="1" x14ac:dyDescent="0.25">
      <c r="B111" s="33"/>
      <c r="C111" s="346"/>
      <c r="D111" s="347"/>
      <c r="E111" s="347"/>
      <c r="F111" s="348"/>
      <c r="G111" s="43"/>
      <c r="H111" s="44"/>
      <c r="I111" s="44"/>
      <c r="J111" s="81"/>
      <c r="K111" s="87">
        <v>6</v>
      </c>
      <c r="L111" s="4" t="s">
        <v>119</v>
      </c>
      <c r="M111" s="99">
        <f>0.73*1.2*K111</f>
        <v>5.2560000000000002</v>
      </c>
      <c r="N111" s="84"/>
      <c r="O111" s="44"/>
      <c r="P111" s="47"/>
      <c r="Q111" s="43"/>
      <c r="R111" s="44"/>
      <c r="S111" s="49"/>
    </row>
    <row r="112" spans="2:21" s="3" customFormat="1" x14ac:dyDescent="0.25">
      <c r="B112" s="33"/>
      <c r="C112" s="346"/>
      <c r="D112" s="347"/>
      <c r="E112" s="347"/>
      <c r="F112" s="348"/>
      <c r="G112" s="43"/>
      <c r="H112" s="44"/>
      <c r="I112" s="44"/>
      <c r="J112" s="81"/>
      <c r="K112" s="87">
        <v>3</v>
      </c>
      <c r="L112" s="4" t="s">
        <v>120</v>
      </c>
      <c r="M112" s="99">
        <f>0.56*1.2*K112</f>
        <v>2.016</v>
      </c>
      <c r="N112" s="84"/>
      <c r="O112" s="44"/>
      <c r="P112" s="47"/>
      <c r="Q112" s="43"/>
      <c r="R112" s="44"/>
      <c r="S112" s="49"/>
    </row>
    <row r="113" spans="2:20" s="3" customFormat="1" ht="15.75" thickBot="1" x14ac:dyDescent="0.3">
      <c r="B113" s="34"/>
      <c r="C113" s="280" t="s">
        <v>128</v>
      </c>
      <c r="D113" s="281"/>
      <c r="E113" s="281"/>
      <c r="F113" s="282"/>
      <c r="G113" s="50"/>
      <c r="H113" s="60"/>
      <c r="I113" s="60"/>
      <c r="J113" s="82"/>
      <c r="K113" s="88">
        <f>SUM(K110:K112)</f>
        <v>21</v>
      </c>
      <c r="L113" s="17" t="s">
        <v>134</v>
      </c>
      <c r="M113" s="100">
        <f t="shared" ref="M113" si="12">SUM(M110:M112)</f>
        <v>21.095999999999997</v>
      </c>
      <c r="N113" s="85"/>
      <c r="O113" s="51"/>
      <c r="P113" s="52"/>
      <c r="Q113" s="55"/>
      <c r="R113" s="51"/>
      <c r="S113" s="54"/>
    </row>
    <row r="114" spans="2:20" s="3" customFormat="1" ht="32.25" customHeight="1" thickTop="1" x14ac:dyDescent="0.25">
      <c r="B114" s="26"/>
      <c r="C114" s="338" t="s">
        <v>90</v>
      </c>
      <c r="D114" s="339"/>
      <c r="E114" s="339"/>
      <c r="F114" s="340"/>
      <c r="G114" s="56"/>
      <c r="H114" s="57"/>
      <c r="I114" s="57"/>
      <c r="J114" s="61"/>
      <c r="K114" s="62"/>
      <c r="L114" s="57"/>
      <c r="M114" s="63"/>
      <c r="N114" s="64"/>
      <c r="O114" s="57"/>
      <c r="P114" s="86"/>
      <c r="Q114" s="56"/>
      <c r="R114" s="57"/>
      <c r="S114" s="58"/>
    </row>
    <row r="115" spans="2:20" s="3" customFormat="1" ht="27" customHeight="1" x14ac:dyDescent="0.25">
      <c r="B115" s="25"/>
      <c r="C115" s="300" t="s">
        <v>91</v>
      </c>
      <c r="D115" s="301"/>
      <c r="E115" s="301"/>
      <c r="F115" s="302"/>
      <c r="G115" s="43"/>
      <c r="H115" s="44"/>
      <c r="I115" s="44"/>
      <c r="J115" s="45"/>
      <c r="K115" s="46"/>
      <c r="L115" s="44"/>
      <c r="M115" s="47"/>
      <c r="N115" s="48">
        <f>SUM(N19:N22)+N35</f>
        <v>6</v>
      </c>
      <c r="O115" s="44" t="s">
        <v>70</v>
      </c>
      <c r="P115" s="90">
        <f>2.4*1.65*N115</f>
        <v>23.759999999999998</v>
      </c>
      <c r="Q115" s="43"/>
      <c r="R115" s="44"/>
      <c r="S115" s="49"/>
    </row>
    <row r="116" spans="2:20" s="3" customFormat="1" ht="16.5" customHeight="1" thickBot="1" x14ac:dyDescent="0.3">
      <c r="B116" s="27"/>
      <c r="C116" s="332" t="s">
        <v>92</v>
      </c>
      <c r="D116" s="333"/>
      <c r="E116" s="333"/>
      <c r="F116" s="334"/>
      <c r="G116" s="55"/>
      <c r="H116" s="51"/>
      <c r="I116" s="51"/>
      <c r="J116" s="65"/>
      <c r="K116" s="66"/>
      <c r="L116" s="67"/>
      <c r="M116" s="68"/>
      <c r="N116" s="53">
        <f>N92+N91+N90+N89+N59+N58+N57+N56</f>
        <v>24</v>
      </c>
      <c r="O116" s="67" t="s">
        <v>78</v>
      </c>
      <c r="P116" s="91">
        <f>0.65*1.44*N116</f>
        <v>22.463999999999999</v>
      </c>
      <c r="Q116" s="69"/>
      <c r="R116" s="67"/>
      <c r="S116" s="65"/>
    </row>
    <row r="117" spans="2:20" s="3" customFormat="1" ht="32.25" customHeight="1" thickTop="1" x14ac:dyDescent="0.25">
      <c r="B117" s="28"/>
      <c r="C117" s="338" t="s">
        <v>93</v>
      </c>
      <c r="D117" s="339"/>
      <c r="E117" s="339"/>
      <c r="F117" s="340"/>
      <c r="G117" s="36"/>
      <c r="H117" s="37"/>
      <c r="I117" s="37"/>
      <c r="J117" s="38"/>
      <c r="K117" s="70"/>
      <c r="L117" s="71"/>
      <c r="M117" s="72"/>
      <c r="N117" s="41"/>
      <c r="O117" s="71"/>
      <c r="P117" s="38"/>
      <c r="Q117" s="73"/>
      <c r="R117" s="71"/>
      <c r="S117" s="38"/>
    </row>
    <row r="118" spans="2:20" s="3" customFormat="1" ht="30" customHeight="1" x14ac:dyDescent="0.25">
      <c r="B118" s="25"/>
      <c r="C118" s="300" t="s">
        <v>94</v>
      </c>
      <c r="D118" s="301"/>
      <c r="E118" s="301"/>
      <c r="F118" s="302"/>
      <c r="G118" s="43"/>
      <c r="H118" s="44"/>
      <c r="I118" s="44"/>
      <c r="J118" s="45"/>
      <c r="K118" s="46"/>
      <c r="L118" s="44"/>
      <c r="M118" s="47"/>
      <c r="N118" s="48"/>
      <c r="O118" s="44"/>
      <c r="P118" s="49"/>
      <c r="Q118" s="48">
        <f>Q94+Q29+Q17</f>
        <v>4</v>
      </c>
      <c r="R118" s="59" t="s">
        <v>98</v>
      </c>
      <c r="S118" s="90">
        <f>S94+S29+S17</f>
        <v>14.849999999999998</v>
      </c>
    </row>
    <row r="119" spans="2:20" s="3" customFormat="1" ht="30.75" customHeight="1" thickBot="1" x14ac:dyDescent="0.3">
      <c r="B119" s="27"/>
      <c r="C119" s="332" t="s">
        <v>97</v>
      </c>
      <c r="D119" s="333"/>
      <c r="E119" s="333"/>
      <c r="F119" s="334"/>
      <c r="G119" s="55"/>
      <c r="H119" s="51"/>
      <c r="I119" s="51"/>
      <c r="J119" s="65"/>
      <c r="K119" s="66"/>
      <c r="L119" s="67"/>
      <c r="M119" s="68"/>
      <c r="N119" s="53"/>
      <c r="O119" s="67"/>
      <c r="P119" s="65"/>
      <c r="Q119" s="74">
        <v>1</v>
      </c>
      <c r="R119" s="75" t="s">
        <v>96</v>
      </c>
      <c r="S119" s="91">
        <f>1.05*1.65</f>
        <v>1.7324999999999999</v>
      </c>
    </row>
    <row r="120" spans="2:20" s="3" customFormat="1" ht="33.75" customHeight="1" thickTop="1" x14ac:dyDescent="0.25">
      <c r="B120" s="308"/>
      <c r="C120" s="308"/>
      <c r="D120" s="308"/>
      <c r="E120" s="308"/>
      <c r="F120" s="308"/>
      <c r="G120" s="308"/>
      <c r="H120" s="308"/>
      <c r="I120" s="308"/>
      <c r="J120" s="308"/>
    </row>
    <row r="121" spans="2:20" x14ac:dyDescent="0.25">
      <c r="C121" s="309" t="s">
        <v>108</v>
      </c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15"/>
      <c r="P121" s="15"/>
      <c r="Q121" s="15"/>
      <c r="R121" s="15"/>
      <c r="S121" s="15"/>
      <c r="T121" s="15"/>
    </row>
    <row r="123" spans="2:20" ht="36.75" customHeight="1" x14ac:dyDescent="0.25">
      <c r="C123" s="310" t="s">
        <v>110</v>
      </c>
      <c r="D123" s="311"/>
      <c r="E123" s="311"/>
      <c r="F123" s="312"/>
      <c r="G123" s="14" t="s">
        <v>113</v>
      </c>
      <c r="H123" s="9" t="s">
        <v>103</v>
      </c>
      <c r="I123" s="313" t="s">
        <v>109</v>
      </c>
      <c r="J123" s="314"/>
      <c r="K123" s="315" t="s">
        <v>100</v>
      </c>
      <c r="L123" s="315"/>
      <c r="M123" s="315" t="s">
        <v>101</v>
      </c>
      <c r="N123" s="315"/>
    </row>
    <row r="124" spans="2:20" x14ac:dyDescent="0.25">
      <c r="C124" s="310" t="s">
        <v>99</v>
      </c>
      <c r="D124" s="311"/>
      <c r="E124" s="311"/>
      <c r="F124" s="312"/>
      <c r="G124" s="14" t="s">
        <v>114</v>
      </c>
      <c r="H124" s="10">
        <v>62</v>
      </c>
      <c r="I124" s="307">
        <v>125</v>
      </c>
      <c r="J124" s="307"/>
      <c r="K124" s="307">
        <f>H124*I124</f>
        <v>7750</v>
      </c>
      <c r="L124" s="307"/>
      <c r="M124" s="307">
        <f>K124*1.23</f>
        <v>9532.5</v>
      </c>
      <c r="N124" s="307"/>
    </row>
    <row r="125" spans="2:20" x14ac:dyDescent="0.25">
      <c r="C125" s="310" t="s">
        <v>102</v>
      </c>
      <c r="D125" s="311"/>
      <c r="E125" s="311"/>
      <c r="F125" s="312"/>
      <c r="G125" s="14" t="s">
        <v>115</v>
      </c>
      <c r="H125" s="169">
        <f>I109</f>
        <v>266.05999999999989</v>
      </c>
      <c r="I125" s="307">
        <v>45</v>
      </c>
      <c r="J125" s="307"/>
      <c r="K125" s="307">
        <f t="shared" ref="K125:K126" si="13">H125*I125</f>
        <v>11972.699999999995</v>
      </c>
      <c r="L125" s="307"/>
      <c r="M125" s="307">
        <f>K125*1.23</f>
        <v>14726.420999999995</v>
      </c>
      <c r="N125" s="307"/>
    </row>
    <row r="126" spans="2:20" x14ac:dyDescent="0.25">
      <c r="C126" s="310" t="s">
        <v>105</v>
      </c>
      <c r="D126" s="311"/>
      <c r="E126" s="311"/>
      <c r="F126" s="312"/>
      <c r="G126" s="14" t="s">
        <v>115</v>
      </c>
      <c r="H126" s="169">
        <f>I109</f>
        <v>266.05999999999989</v>
      </c>
      <c r="I126" s="307">
        <v>10</v>
      </c>
      <c r="J126" s="307"/>
      <c r="K126" s="307">
        <f t="shared" si="13"/>
        <v>2660.599999999999</v>
      </c>
      <c r="L126" s="307"/>
      <c r="M126" s="307">
        <f>K126*1.23</f>
        <v>3272.5379999999986</v>
      </c>
      <c r="N126" s="307"/>
    </row>
    <row r="127" spans="2:20" x14ac:dyDescent="0.25">
      <c r="C127" s="316" t="s">
        <v>106</v>
      </c>
      <c r="D127" s="317"/>
      <c r="E127" s="317"/>
      <c r="F127" s="317"/>
      <c r="G127" s="317"/>
      <c r="H127" s="317"/>
      <c r="I127" s="317"/>
      <c r="J127" s="318"/>
      <c r="K127" s="319">
        <f>SUM(K124:K126)</f>
        <v>22383.299999999996</v>
      </c>
      <c r="L127" s="319"/>
      <c r="M127" s="319">
        <f>K127*1.23</f>
        <v>27531.458999999995</v>
      </c>
      <c r="N127" s="319"/>
    </row>
    <row r="128" spans="2:20" x14ac:dyDescent="0.25"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3"/>
    </row>
    <row r="129" spans="3:14" x14ac:dyDescent="0.25">
      <c r="C129" s="310" t="s">
        <v>111</v>
      </c>
      <c r="D129" s="311"/>
      <c r="E129" s="311"/>
      <c r="F129" s="312"/>
      <c r="G129" s="14" t="s">
        <v>113</v>
      </c>
      <c r="H129" s="10" t="s">
        <v>103</v>
      </c>
      <c r="I129" s="10" t="s">
        <v>104</v>
      </c>
      <c r="J129" s="10"/>
      <c r="K129" s="326" t="s">
        <v>100</v>
      </c>
      <c r="L129" s="326"/>
      <c r="M129" s="326" t="s">
        <v>101</v>
      </c>
      <c r="N129" s="326"/>
    </row>
    <row r="130" spans="3:14" x14ac:dyDescent="0.25">
      <c r="C130" s="310" t="s">
        <v>107</v>
      </c>
      <c r="D130" s="311"/>
      <c r="E130" s="311"/>
      <c r="F130" s="311"/>
      <c r="G130" s="14" t="s">
        <v>115</v>
      </c>
      <c r="H130" s="16">
        <f>M98+P98+S98</f>
        <v>83.902499999999989</v>
      </c>
      <c r="I130" s="307">
        <v>130</v>
      </c>
      <c r="J130" s="307"/>
      <c r="K130" s="307">
        <f>H130*I130</f>
        <v>10907.324999999999</v>
      </c>
      <c r="L130" s="307"/>
      <c r="M130" s="307">
        <f>K130*1.23</f>
        <v>13416.009749999999</v>
      </c>
      <c r="N130" s="307"/>
    </row>
    <row r="131" spans="3:14" x14ac:dyDescent="0.25">
      <c r="C131" s="316" t="s">
        <v>106</v>
      </c>
      <c r="D131" s="317"/>
      <c r="E131" s="317"/>
      <c r="F131" s="317"/>
      <c r="G131" s="317"/>
      <c r="H131" s="317"/>
      <c r="I131" s="317"/>
      <c r="J131" s="318"/>
      <c r="K131" s="319">
        <f>SUM(K130:K130)</f>
        <v>10907.324999999999</v>
      </c>
      <c r="L131" s="319"/>
      <c r="M131" s="319">
        <f>K131*1.23</f>
        <v>13416.009749999999</v>
      </c>
      <c r="N131" s="319"/>
    </row>
    <row r="132" spans="3:14" x14ac:dyDescent="0.25">
      <c r="C132" s="327" t="s">
        <v>112</v>
      </c>
      <c r="D132" s="328"/>
      <c r="E132" s="328"/>
      <c r="F132" s="328"/>
      <c r="G132" s="328"/>
      <c r="H132" s="328"/>
      <c r="I132" s="328"/>
      <c r="J132" s="329"/>
      <c r="K132" s="330">
        <f>K127+K131</f>
        <v>33290.624999999993</v>
      </c>
      <c r="L132" s="331"/>
      <c r="M132" s="330">
        <f>M127+M131</f>
        <v>40947.468749999993</v>
      </c>
      <c r="N132" s="331"/>
    </row>
    <row r="134" spans="3:14" x14ac:dyDescent="0.25">
      <c r="M134" s="170">
        <f>41000/1.23</f>
        <v>33333.333333333336</v>
      </c>
    </row>
  </sheetData>
  <mergeCells count="77">
    <mergeCell ref="C4:E4"/>
    <mergeCell ref="C28:E28"/>
    <mergeCell ref="C65:D65"/>
    <mergeCell ref="C98:D98"/>
    <mergeCell ref="C1:T1"/>
    <mergeCell ref="G2:J2"/>
    <mergeCell ref="K2:M2"/>
    <mergeCell ref="N2:P2"/>
    <mergeCell ref="Q2:S2"/>
    <mergeCell ref="C7:E7"/>
    <mergeCell ref="C108:F108"/>
    <mergeCell ref="C114:F114"/>
    <mergeCell ref="C115:F115"/>
    <mergeCell ref="C116:F116"/>
    <mergeCell ref="C97:D97"/>
    <mergeCell ref="C110:F112"/>
    <mergeCell ref="C101:F101"/>
    <mergeCell ref="C100:F100"/>
    <mergeCell ref="C104:F104"/>
    <mergeCell ref="C105:F106"/>
    <mergeCell ref="C132:J132"/>
    <mergeCell ref="K132:L132"/>
    <mergeCell ref="M132:N132"/>
    <mergeCell ref="C130:F130"/>
    <mergeCell ref="I130:J130"/>
    <mergeCell ref="K130:L130"/>
    <mergeCell ref="M130:N130"/>
    <mergeCell ref="C131:J131"/>
    <mergeCell ref="K131:L131"/>
    <mergeCell ref="M131:N131"/>
    <mergeCell ref="C127:J127"/>
    <mergeCell ref="K127:L127"/>
    <mergeCell ref="M127:N127"/>
    <mergeCell ref="C102:F103"/>
    <mergeCell ref="C129:F129"/>
    <mergeCell ref="K129:L129"/>
    <mergeCell ref="M129:N129"/>
    <mergeCell ref="C125:F125"/>
    <mergeCell ref="I125:J125"/>
    <mergeCell ref="K125:L125"/>
    <mergeCell ref="M125:N125"/>
    <mergeCell ref="C126:F126"/>
    <mergeCell ref="I126:J126"/>
    <mergeCell ref="K126:L126"/>
    <mergeCell ref="M126:N126"/>
    <mergeCell ref="C124:F124"/>
    <mergeCell ref="D70:D71"/>
    <mergeCell ref="I124:J124"/>
    <mergeCell ref="K124:L124"/>
    <mergeCell ref="M124:N124"/>
    <mergeCell ref="B120:J120"/>
    <mergeCell ref="C121:N121"/>
    <mergeCell ref="C123:F123"/>
    <mergeCell ref="I123:J123"/>
    <mergeCell ref="K123:L123"/>
    <mergeCell ref="M123:N123"/>
    <mergeCell ref="C119:F119"/>
    <mergeCell ref="C109:F109"/>
    <mergeCell ref="C99:S99"/>
    <mergeCell ref="C117:F117"/>
    <mergeCell ref="C118:F118"/>
    <mergeCell ref="C113:F113"/>
    <mergeCell ref="C27:D27"/>
    <mergeCell ref="B2:B3"/>
    <mergeCell ref="C2:C3"/>
    <mergeCell ref="D2:D3"/>
    <mergeCell ref="E2:E3"/>
    <mergeCell ref="F2:F3"/>
    <mergeCell ref="C5:C6"/>
    <mergeCell ref="D5:D6"/>
    <mergeCell ref="B16:B17"/>
    <mergeCell ref="C16:C17"/>
    <mergeCell ref="C107:F107"/>
    <mergeCell ref="D16:D17"/>
    <mergeCell ref="C64:D64"/>
    <mergeCell ref="B70:B71"/>
    <mergeCell ref="C70:C71"/>
  </mergeCells>
  <pageMargins left="0" right="0" top="0.59055118110236227" bottom="0.5511811023622047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W14" sqref="W14"/>
    </sheetView>
  </sheetViews>
  <sheetFormatPr defaultRowHeight="15" x14ac:dyDescent="0.25"/>
  <cols>
    <col min="1" max="1" width="1.28515625" customWidth="1"/>
    <col min="2" max="2" width="16.140625" customWidth="1"/>
    <col min="3" max="3" width="6" customWidth="1"/>
    <col min="4" max="4" width="9.7109375" customWidth="1"/>
    <col min="5" max="5" width="9.85546875" customWidth="1"/>
    <col min="6" max="6" width="5.5703125" customWidth="1"/>
    <col min="7" max="7" width="10.140625" customWidth="1"/>
    <col min="8" max="8" width="6.28515625" customWidth="1"/>
    <col min="9" max="9" width="8.28515625" customWidth="1"/>
    <col min="10" max="10" width="5.85546875" customWidth="1"/>
    <col min="11" max="11" width="10.28515625" customWidth="1"/>
    <col min="12" max="12" width="6.7109375" customWidth="1"/>
    <col min="13" max="13" width="4.7109375" customWidth="1"/>
    <col min="14" max="14" width="9.28515625" customWidth="1"/>
    <col min="15" max="15" width="5.42578125" customWidth="1"/>
    <col min="16" max="16" width="4.5703125" customWidth="1"/>
    <col min="17" max="17" width="10" customWidth="1"/>
    <col min="18" max="18" width="6.42578125" customWidth="1"/>
    <col min="19" max="19" width="11.5703125" customWidth="1"/>
  </cols>
  <sheetData>
    <row r="1" spans="2:19" x14ac:dyDescent="0.25">
      <c r="N1" s="392" t="s">
        <v>147</v>
      </c>
      <c r="O1" s="392"/>
      <c r="P1" s="392"/>
      <c r="Q1" s="392"/>
      <c r="R1" s="392"/>
    </row>
    <row r="2" spans="2:19" s="3" customFormat="1" ht="21" customHeight="1" thickBot="1" x14ac:dyDescent="0.3">
      <c r="B2" s="335" t="s">
        <v>123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89"/>
    </row>
    <row r="3" spans="2:19" s="3" customFormat="1" ht="63.75" customHeight="1" thickTop="1" thickBot="1" x14ac:dyDescent="0.3">
      <c r="B3" s="369" t="s">
        <v>137</v>
      </c>
      <c r="C3" s="370"/>
      <c r="D3" s="370"/>
      <c r="E3" s="371"/>
      <c r="F3" s="208" t="s">
        <v>126</v>
      </c>
      <c r="G3" s="208" t="s">
        <v>138</v>
      </c>
      <c r="H3" s="208" t="s">
        <v>127</v>
      </c>
      <c r="I3" s="209" t="s">
        <v>139</v>
      </c>
      <c r="J3" s="208" t="s">
        <v>126</v>
      </c>
      <c r="K3" s="208" t="s">
        <v>138</v>
      </c>
      <c r="L3" s="208" t="s">
        <v>127</v>
      </c>
      <c r="M3" s="208" t="s">
        <v>126</v>
      </c>
      <c r="N3" s="208" t="s">
        <v>138</v>
      </c>
      <c r="O3" s="208" t="s">
        <v>127</v>
      </c>
      <c r="P3" s="208" t="s">
        <v>126</v>
      </c>
      <c r="Q3" s="208" t="s">
        <v>138</v>
      </c>
      <c r="R3" s="210" t="s">
        <v>127</v>
      </c>
    </row>
    <row r="4" spans="2:19" s="3" customFormat="1" ht="27" customHeight="1" thickTop="1" x14ac:dyDescent="0.25">
      <c r="B4" s="372" t="s">
        <v>136</v>
      </c>
      <c r="C4" s="373"/>
      <c r="D4" s="373"/>
      <c r="E4" s="373"/>
      <c r="F4" s="211"/>
      <c r="G4" s="211"/>
      <c r="H4" s="211"/>
      <c r="I4" s="212"/>
      <c r="J4" s="211"/>
      <c r="K4" s="211"/>
      <c r="L4" s="211"/>
      <c r="M4" s="211"/>
      <c r="N4" s="211"/>
      <c r="O4" s="211"/>
      <c r="P4" s="211"/>
      <c r="Q4" s="211"/>
      <c r="R4" s="213"/>
    </row>
    <row r="5" spans="2:19" s="3" customFormat="1" ht="15" customHeight="1" x14ac:dyDescent="0.25">
      <c r="B5" s="374" t="s">
        <v>85</v>
      </c>
      <c r="C5" s="375"/>
      <c r="D5" s="375"/>
      <c r="E5" s="376"/>
      <c r="F5" s="214">
        <v>53</v>
      </c>
      <c r="G5" s="215" t="s">
        <v>124</v>
      </c>
      <c r="H5" s="216">
        <v>231.60999999999996</v>
      </c>
      <c r="I5" s="217">
        <v>121.89999999999999</v>
      </c>
      <c r="J5" s="218"/>
      <c r="K5" s="215"/>
      <c r="L5" s="219"/>
      <c r="M5" s="220"/>
      <c r="N5" s="215"/>
      <c r="O5" s="221"/>
      <c r="P5" s="214"/>
      <c r="Q5" s="215"/>
      <c r="R5" s="221"/>
    </row>
    <row r="6" spans="2:19" s="3" customFormat="1" ht="15" customHeight="1" x14ac:dyDescent="0.25">
      <c r="B6" s="377"/>
      <c r="C6" s="378"/>
      <c r="D6" s="378"/>
      <c r="E6" s="379"/>
      <c r="F6" s="214">
        <v>1</v>
      </c>
      <c r="G6" s="215" t="s">
        <v>125</v>
      </c>
      <c r="H6" s="216">
        <v>4.92</v>
      </c>
      <c r="I6" s="217">
        <v>2.2999999999999998</v>
      </c>
      <c r="J6" s="218"/>
      <c r="K6" s="215"/>
      <c r="L6" s="219"/>
      <c r="M6" s="220"/>
      <c r="N6" s="215"/>
      <c r="O6" s="221"/>
      <c r="P6" s="214"/>
      <c r="Q6" s="215"/>
      <c r="R6" s="221"/>
    </row>
    <row r="7" spans="2:19" s="3" customFormat="1" ht="15" customHeight="1" x14ac:dyDescent="0.25">
      <c r="B7" s="380" t="s">
        <v>86</v>
      </c>
      <c r="C7" s="381"/>
      <c r="D7" s="381"/>
      <c r="E7" s="382"/>
      <c r="F7" s="222">
        <v>3</v>
      </c>
      <c r="G7" s="223" t="s">
        <v>129</v>
      </c>
      <c r="H7" s="224">
        <v>6.12</v>
      </c>
      <c r="I7" s="225">
        <v>3.5999999999999996</v>
      </c>
      <c r="J7" s="226"/>
      <c r="K7" s="223"/>
      <c r="L7" s="227"/>
      <c r="M7" s="228"/>
      <c r="N7" s="223"/>
      <c r="O7" s="229"/>
      <c r="P7" s="222"/>
      <c r="Q7" s="223"/>
      <c r="R7" s="229"/>
    </row>
    <row r="8" spans="2:19" s="3" customFormat="1" ht="15" customHeight="1" x14ac:dyDescent="0.25">
      <c r="B8" s="374" t="s">
        <v>87</v>
      </c>
      <c r="C8" s="375"/>
      <c r="D8" s="375"/>
      <c r="E8" s="376"/>
      <c r="F8" s="222">
        <v>1</v>
      </c>
      <c r="G8" s="223" t="s">
        <v>130</v>
      </c>
      <c r="H8" s="224">
        <v>2.8899999999999997</v>
      </c>
      <c r="I8" s="225">
        <v>1.7</v>
      </c>
      <c r="J8" s="226"/>
      <c r="K8" s="223"/>
      <c r="L8" s="227"/>
      <c r="M8" s="228"/>
      <c r="N8" s="223"/>
      <c r="O8" s="229"/>
      <c r="P8" s="222"/>
      <c r="Q8" s="223"/>
      <c r="R8" s="229"/>
    </row>
    <row r="9" spans="2:19" s="3" customFormat="1" ht="15" customHeight="1" x14ac:dyDescent="0.25">
      <c r="B9" s="377"/>
      <c r="C9" s="378"/>
      <c r="D9" s="378"/>
      <c r="E9" s="379"/>
      <c r="F9" s="222">
        <v>1</v>
      </c>
      <c r="G9" s="223" t="s">
        <v>131</v>
      </c>
      <c r="H9" s="224">
        <v>3.23</v>
      </c>
      <c r="I9" s="225">
        <v>1.7</v>
      </c>
      <c r="J9" s="226"/>
      <c r="K9" s="223"/>
      <c r="L9" s="227"/>
      <c r="M9" s="228"/>
      <c r="N9" s="223"/>
      <c r="O9" s="229"/>
      <c r="P9" s="222"/>
      <c r="Q9" s="223"/>
      <c r="R9" s="229"/>
    </row>
    <row r="10" spans="2:19" s="3" customFormat="1" ht="15" customHeight="1" x14ac:dyDescent="0.25">
      <c r="B10" s="380" t="s">
        <v>88</v>
      </c>
      <c r="C10" s="381"/>
      <c r="D10" s="381"/>
      <c r="E10" s="382"/>
      <c r="F10" s="222">
        <v>1</v>
      </c>
      <c r="G10" s="223" t="s">
        <v>132</v>
      </c>
      <c r="H10" s="224">
        <v>5.51</v>
      </c>
      <c r="I10" s="225">
        <v>2.9</v>
      </c>
      <c r="J10" s="226"/>
      <c r="K10" s="223"/>
      <c r="L10" s="227"/>
      <c r="M10" s="228"/>
      <c r="N10" s="223"/>
      <c r="O10" s="229"/>
      <c r="P10" s="222"/>
      <c r="Q10" s="223"/>
      <c r="R10" s="229"/>
    </row>
    <row r="11" spans="2:19" s="3" customFormat="1" ht="15" customHeight="1" thickBot="1" x14ac:dyDescent="0.3">
      <c r="B11" s="380" t="s">
        <v>89</v>
      </c>
      <c r="C11" s="381"/>
      <c r="D11" s="381"/>
      <c r="E11" s="382"/>
      <c r="F11" s="230">
        <v>2</v>
      </c>
      <c r="G11" s="231" t="s">
        <v>133</v>
      </c>
      <c r="H11" s="232">
        <v>11.78</v>
      </c>
      <c r="I11" s="233">
        <v>6.2</v>
      </c>
      <c r="J11" s="226"/>
      <c r="K11" s="223"/>
      <c r="L11" s="227"/>
      <c r="M11" s="228"/>
      <c r="N11" s="223"/>
      <c r="O11" s="229"/>
      <c r="P11" s="222"/>
      <c r="Q11" s="223"/>
      <c r="R11" s="229"/>
    </row>
    <row r="12" spans="2:19" s="3" customFormat="1" ht="15" customHeight="1" thickTop="1" thickBot="1" x14ac:dyDescent="0.3">
      <c r="B12" s="383" t="s">
        <v>128</v>
      </c>
      <c r="C12" s="384"/>
      <c r="D12" s="384"/>
      <c r="E12" s="385"/>
      <c r="F12" s="234">
        <v>62</v>
      </c>
      <c r="G12" s="235" t="s">
        <v>55</v>
      </c>
      <c r="H12" s="236">
        <v>266.05999999999989</v>
      </c>
      <c r="I12" s="237">
        <v>140.29999999999995</v>
      </c>
      <c r="J12" s="238"/>
      <c r="K12" s="239"/>
      <c r="L12" s="240"/>
      <c r="M12" s="241"/>
      <c r="N12" s="239"/>
      <c r="O12" s="242"/>
      <c r="P12" s="238"/>
      <c r="Q12" s="239"/>
      <c r="R12" s="242"/>
    </row>
    <row r="13" spans="2:19" s="3" customFormat="1" ht="15" customHeight="1" thickTop="1" x14ac:dyDescent="0.25">
      <c r="B13" s="363" t="s">
        <v>145</v>
      </c>
      <c r="C13" s="364"/>
      <c r="D13" s="364"/>
      <c r="E13" s="365"/>
      <c r="F13" s="243"/>
      <c r="G13" s="244"/>
      <c r="H13" s="244"/>
      <c r="I13" s="245"/>
      <c r="J13" s="243">
        <v>12</v>
      </c>
      <c r="K13" s="244" t="s">
        <v>67</v>
      </c>
      <c r="L13" s="246">
        <v>13.823999999999998</v>
      </c>
      <c r="M13" s="247"/>
      <c r="N13" s="244"/>
      <c r="O13" s="248"/>
      <c r="P13" s="243"/>
      <c r="Q13" s="244"/>
      <c r="R13" s="249"/>
    </row>
    <row r="14" spans="2:19" s="3" customFormat="1" ht="15" customHeight="1" x14ac:dyDescent="0.25">
      <c r="B14" s="366"/>
      <c r="C14" s="367"/>
      <c r="D14" s="367"/>
      <c r="E14" s="368"/>
      <c r="F14" s="222"/>
      <c r="G14" s="223"/>
      <c r="H14" s="223"/>
      <c r="I14" s="250"/>
      <c r="J14" s="251">
        <v>6</v>
      </c>
      <c r="K14" s="252" t="s">
        <v>119</v>
      </c>
      <c r="L14" s="253">
        <v>5.2560000000000002</v>
      </c>
      <c r="M14" s="254"/>
      <c r="N14" s="223"/>
      <c r="O14" s="227"/>
      <c r="P14" s="222"/>
      <c r="Q14" s="223"/>
      <c r="R14" s="229"/>
    </row>
    <row r="15" spans="2:19" s="3" customFormat="1" ht="15" customHeight="1" x14ac:dyDescent="0.25">
      <c r="B15" s="366"/>
      <c r="C15" s="367"/>
      <c r="D15" s="367"/>
      <c r="E15" s="368"/>
      <c r="F15" s="222"/>
      <c r="G15" s="223"/>
      <c r="H15" s="223"/>
      <c r="I15" s="250"/>
      <c r="J15" s="251">
        <v>3</v>
      </c>
      <c r="K15" s="252" t="s">
        <v>120</v>
      </c>
      <c r="L15" s="253">
        <v>2.016</v>
      </c>
      <c r="M15" s="254"/>
      <c r="N15" s="223"/>
      <c r="O15" s="227"/>
      <c r="P15" s="222"/>
      <c r="Q15" s="223"/>
      <c r="R15" s="229"/>
    </row>
    <row r="16" spans="2:19" s="3" customFormat="1" ht="15" customHeight="1" thickBot="1" x14ac:dyDescent="0.3">
      <c r="B16" s="383" t="s">
        <v>128</v>
      </c>
      <c r="C16" s="384"/>
      <c r="D16" s="384"/>
      <c r="E16" s="385"/>
      <c r="F16" s="255"/>
      <c r="G16" s="256"/>
      <c r="H16" s="256"/>
      <c r="I16" s="257"/>
      <c r="J16" s="258">
        <v>21</v>
      </c>
      <c r="K16" s="259" t="s">
        <v>134</v>
      </c>
      <c r="L16" s="260">
        <v>21.095999999999997</v>
      </c>
      <c r="M16" s="261"/>
      <c r="N16" s="239"/>
      <c r="O16" s="240"/>
      <c r="P16" s="238"/>
      <c r="Q16" s="239"/>
      <c r="R16" s="242"/>
    </row>
    <row r="17" spans="2:18" s="3" customFormat="1" ht="24.75" customHeight="1" thickTop="1" x14ac:dyDescent="0.25">
      <c r="B17" s="389" t="s">
        <v>142</v>
      </c>
      <c r="C17" s="390"/>
      <c r="D17" s="390"/>
      <c r="E17" s="391"/>
      <c r="F17" s="243"/>
      <c r="G17" s="244"/>
      <c r="H17" s="244"/>
      <c r="I17" s="262"/>
      <c r="J17" s="263"/>
      <c r="K17" s="244"/>
      <c r="L17" s="248"/>
      <c r="M17" s="264"/>
      <c r="N17" s="244"/>
      <c r="O17" s="246"/>
      <c r="P17" s="243"/>
      <c r="Q17" s="244"/>
      <c r="R17" s="249"/>
    </row>
    <row r="18" spans="2:18" s="3" customFormat="1" ht="36.75" customHeight="1" x14ac:dyDescent="0.25">
      <c r="B18" s="380" t="s">
        <v>144</v>
      </c>
      <c r="C18" s="381"/>
      <c r="D18" s="381"/>
      <c r="E18" s="382"/>
      <c r="F18" s="222"/>
      <c r="G18" s="223"/>
      <c r="H18" s="223"/>
      <c r="I18" s="265"/>
      <c r="J18" s="226"/>
      <c r="K18" s="223"/>
      <c r="L18" s="227"/>
      <c r="M18" s="228">
        <v>6</v>
      </c>
      <c r="N18" s="223" t="s">
        <v>70</v>
      </c>
      <c r="O18" s="225">
        <v>23.759999999999998</v>
      </c>
      <c r="P18" s="222"/>
      <c r="Q18" s="223"/>
      <c r="R18" s="229"/>
    </row>
    <row r="19" spans="2:18" s="3" customFormat="1" ht="37.5" customHeight="1" thickBot="1" x14ac:dyDescent="0.3">
      <c r="B19" s="386" t="s">
        <v>146</v>
      </c>
      <c r="C19" s="387"/>
      <c r="D19" s="387"/>
      <c r="E19" s="388"/>
      <c r="F19" s="238"/>
      <c r="G19" s="239"/>
      <c r="H19" s="239"/>
      <c r="I19" s="266"/>
      <c r="J19" s="267"/>
      <c r="K19" s="268"/>
      <c r="L19" s="269"/>
      <c r="M19" s="241">
        <v>24</v>
      </c>
      <c r="N19" s="268" t="s">
        <v>78</v>
      </c>
      <c r="O19" s="270">
        <v>22.463999999999999</v>
      </c>
      <c r="P19" s="271"/>
      <c r="Q19" s="268"/>
      <c r="R19" s="266"/>
    </row>
    <row r="20" spans="2:18" s="3" customFormat="1" ht="44.25" customHeight="1" thickTop="1" x14ac:dyDescent="0.25">
      <c r="B20" s="389" t="s">
        <v>143</v>
      </c>
      <c r="C20" s="390"/>
      <c r="D20" s="390"/>
      <c r="E20" s="391"/>
      <c r="F20" s="214"/>
      <c r="G20" s="215"/>
      <c r="H20" s="215"/>
      <c r="I20" s="272"/>
      <c r="J20" s="273"/>
      <c r="K20" s="274"/>
      <c r="L20" s="275"/>
      <c r="M20" s="220"/>
      <c r="N20" s="274"/>
      <c r="O20" s="272"/>
      <c r="P20" s="276"/>
      <c r="Q20" s="274"/>
      <c r="R20" s="272"/>
    </row>
    <row r="21" spans="2:18" s="3" customFormat="1" ht="26.25" customHeight="1" x14ac:dyDescent="0.25">
      <c r="B21" s="380" t="s">
        <v>94</v>
      </c>
      <c r="C21" s="381"/>
      <c r="D21" s="381"/>
      <c r="E21" s="382"/>
      <c r="F21" s="222"/>
      <c r="G21" s="223"/>
      <c r="H21" s="223"/>
      <c r="I21" s="265"/>
      <c r="J21" s="226"/>
      <c r="K21" s="223"/>
      <c r="L21" s="227"/>
      <c r="M21" s="228"/>
      <c r="N21" s="223"/>
      <c r="O21" s="229"/>
      <c r="P21" s="228">
        <v>4</v>
      </c>
      <c r="Q21" s="277" t="s">
        <v>98</v>
      </c>
      <c r="R21" s="225">
        <v>14.849999999999998</v>
      </c>
    </row>
    <row r="22" spans="2:18" s="3" customFormat="1" ht="15" customHeight="1" thickBot="1" x14ac:dyDescent="0.3">
      <c r="B22" s="386" t="s">
        <v>97</v>
      </c>
      <c r="C22" s="387"/>
      <c r="D22" s="387"/>
      <c r="E22" s="388"/>
      <c r="F22" s="238"/>
      <c r="G22" s="239"/>
      <c r="H22" s="239"/>
      <c r="I22" s="266"/>
      <c r="J22" s="267"/>
      <c r="K22" s="268"/>
      <c r="L22" s="269"/>
      <c r="M22" s="241"/>
      <c r="N22" s="268"/>
      <c r="O22" s="266"/>
      <c r="P22" s="278">
        <v>1</v>
      </c>
      <c r="Q22" s="279" t="s">
        <v>96</v>
      </c>
      <c r="R22" s="270">
        <v>1.7324999999999999</v>
      </c>
    </row>
    <row r="23" spans="2:18" s="3" customFormat="1" ht="33.75" customHeight="1" thickTop="1" x14ac:dyDescent="0.25">
      <c r="B23" s="308"/>
      <c r="C23" s="308"/>
      <c r="D23" s="308"/>
      <c r="E23" s="308"/>
      <c r="F23" s="308"/>
      <c r="G23" s="308"/>
      <c r="H23" s="308"/>
      <c r="I23" s="308"/>
    </row>
  </sheetData>
  <mergeCells count="19">
    <mergeCell ref="N1:R1"/>
    <mergeCell ref="B22:E22"/>
    <mergeCell ref="B23:I23"/>
    <mergeCell ref="B16:E16"/>
    <mergeCell ref="B17:E17"/>
    <mergeCell ref="B18:E18"/>
    <mergeCell ref="B19:E19"/>
    <mergeCell ref="B20:E20"/>
    <mergeCell ref="B21:E21"/>
    <mergeCell ref="B13:E15"/>
    <mergeCell ref="B2:R2"/>
    <mergeCell ref="B3:E3"/>
    <mergeCell ref="B4:E4"/>
    <mergeCell ref="B5:E6"/>
    <mergeCell ref="B7:E7"/>
    <mergeCell ref="B8:E9"/>
    <mergeCell ref="B10:E10"/>
    <mergeCell ref="B11:E11"/>
    <mergeCell ref="B12:E12"/>
  </mergeCells>
  <pageMargins left="0" right="0" top="0.59055118110236227" bottom="0.5511811023622047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Zestawienie (2)</vt:lpstr>
      <vt:lpstr>Zestawienie (3)</vt:lpstr>
      <vt:lpstr>'Zestawienie (2)'!Tytuły_wydruku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teresapietrzyk</dc:creator>
  <cp:lastModifiedBy>teresapietrzyk</cp:lastModifiedBy>
  <cp:lastPrinted>2018-06-19T06:16:53Z</cp:lastPrinted>
  <dcterms:created xsi:type="dcterms:W3CDTF">2015-11-16T10:05:40Z</dcterms:created>
  <dcterms:modified xsi:type="dcterms:W3CDTF">2018-06-19T06:22:40Z</dcterms:modified>
</cp:coreProperties>
</file>