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A:\2022\60_2022_TBS dzieżawa-ZARZĄDZANIE+zastępstwo inwestycyjne WR\ZAPROSZENIE DO NEGOCJACJI\"/>
    </mc:Choice>
  </mc:AlternateContent>
  <xr:revisionPtr revIDLastSave="0" documentId="8_{0C8C12E4-6C07-475C-9D6F-AC08772DB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opad 2022 Miasto" sheetId="1" r:id="rId1"/>
  </sheets>
  <definedNames>
    <definedName name="_xlnm.Print_Area" localSheetId="0">'listopad 2022 Miasto'!$A$1:$W$188</definedName>
    <definedName name="_xlnm.Print_Titles" localSheetId="0">'listopad 2022 Miasto'!$4:$6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8" i="1" l="1"/>
  <c r="M148" i="1" l="1"/>
  <c r="L129" i="1"/>
  <c r="L128" i="1"/>
  <c r="I128" i="1"/>
  <c r="H128" i="1"/>
  <c r="L112" i="1"/>
  <c r="J112" i="1"/>
  <c r="I112" i="1"/>
  <c r="H112" i="1"/>
  <c r="L117" i="1"/>
  <c r="L144" i="1" l="1"/>
  <c r="L25" i="1"/>
  <c r="J25" i="1"/>
  <c r="I25" i="1"/>
  <c r="H25" i="1"/>
  <c r="L152" i="1"/>
  <c r="M85" i="1" l="1"/>
  <c r="L98" i="1"/>
  <c r="L157" i="1" l="1"/>
  <c r="L143" i="1"/>
  <c r="N128" i="1" l="1"/>
  <c r="M128" i="1"/>
  <c r="L72" i="1"/>
  <c r="L147" i="1" l="1"/>
  <c r="J147" i="1"/>
  <c r="I147" i="1"/>
  <c r="H147" i="1"/>
  <c r="L48" i="1"/>
  <c r="L85" i="1" l="1"/>
  <c r="L30" i="1"/>
  <c r="J30" i="1"/>
  <c r="I30" i="1"/>
  <c r="L31" i="1"/>
  <c r="J31" i="1"/>
  <c r="I31" i="1"/>
  <c r="H31" i="1"/>
  <c r="L148" i="1" l="1"/>
  <c r="L141" i="1"/>
  <c r="L109" i="1"/>
  <c r="H109" i="1"/>
  <c r="L41" i="1" l="1"/>
  <c r="J108" i="1" l="1"/>
  <c r="J106" i="1"/>
  <c r="L106" i="1"/>
  <c r="I108" i="1" l="1"/>
  <c r="H108" i="1"/>
  <c r="H106" i="1"/>
  <c r="I106" i="1"/>
  <c r="L108" i="1" l="1"/>
  <c r="M104" i="1" l="1"/>
  <c r="N104" i="1"/>
  <c r="L104" i="1" l="1"/>
  <c r="J104" i="1"/>
  <c r="I104" i="1"/>
  <c r="H104" i="1"/>
  <c r="I41" i="1"/>
  <c r="H41" i="1"/>
  <c r="L47" i="1" l="1"/>
  <c r="L71" i="1" l="1"/>
  <c r="N63" i="1" l="1"/>
  <c r="M63" i="1" l="1"/>
  <c r="M162" i="1"/>
  <c r="I169" i="1" l="1"/>
  <c r="I163" i="1"/>
  <c r="I122" i="1"/>
  <c r="I105" i="1"/>
  <c r="I91" i="1"/>
  <c r="I90" i="1"/>
  <c r="I70" i="1"/>
  <c r="I69" i="1"/>
  <c r="I38" i="1"/>
  <c r="I24" i="1"/>
  <c r="I172" i="1" l="1"/>
  <c r="L162" i="1" l="1"/>
  <c r="L83" i="1" l="1"/>
  <c r="L111" i="1"/>
  <c r="J90" i="1" l="1"/>
  <c r="J70" i="1"/>
  <c r="L156" i="1" l="1"/>
  <c r="M7" i="1" l="1"/>
  <c r="M119" i="1" l="1"/>
  <c r="M91" i="1"/>
  <c r="L73" i="1"/>
  <c r="L100" i="1" l="1"/>
  <c r="L169" i="1"/>
  <c r="J169" i="1"/>
  <c r="H169" i="1"/>
  <c r="K168" i="1" l="1"/>
  <c r="V101" i="1" l="1"/>
  <c r="V22" i="1"/>
  <c r="L22" i="1"/>
  <c r="L80" i="1" l="1"/>
  <c r="L126" i="1"/>
  <c r="L118" i="1" l="1"/>
  <c r="H30" i="1"/>
  <c r="L151" i="1"/>
  <c r="L92" i="1" l="1"/>
  <c r="H92" i="1"/>
  <c r="L36" i="1"/>
  <c r="L33" i="1"/>
  <c r="L90" i="1"/>
  <c r="H90" i="1"/>
  <c r="L69" i="1"/>
  <c r="L34" i="1"/>
  <c r="J34" i="1"/>
  <c r="H34" i="1"/>
  <c r="L61" i="1" l="1"/>
  <c r="H61" i="1"/>
  <c r="L122" i="1" l="1"/>
  <c r="L121" i="1"/>
  <c r="L110" i="1"/>
  <c r="L99" i="1" l="1"/>
  <c r="L105" i="1"/>
  <c r="J105" i="1"/>
  <c r="H105" i="1"/>
  <c r="L97" i="1" l="1"/>
  <c r="L86" i="1"/>
  <c r="H91" i="1" l="1"/>
  <c r="L91" i="1" l="1"/>
  <c r="L24" i="1" l="1"/>
  <c r="M98" i="1" l="1"/>
  <c r="L146" i="1"/>
  <c r="L68" i="1"/>
  <c r="H165" i="1" l="1"/>
  <c r="L165" i="1"/>
  <c r="L66" i="1" l="1"/>
  <c r="L131" i="1" l="1"/>
  <c r="K131" i="1" s="1"/>
  <c r="H62" i="1" l="1"/>
  <c r="H122" i="1"/>
  <c r="H158" i="1"/>
  <c r="M93" i="1" l="1"/>
  <c r="L120" i="1" l="1"/>
  <c r="L74" i="1"/>
  <c r="L171" i="1" l="1"/>
  <c r="M156" i="1" l="1"/>
  <c r="L88" i="1" l="1"/>
  <c r="L62" i="1" l="1"/>
  <c r="L52" i="1"/>
  <c r="O108" i="1" l="1"/>
  <c r="P108" i="1"/>
  <c r="L38" i="1" l="1"/>
  <c r="J38" i="1"/>
  <c r="H38" i="1"/>
  <c r="M143" i="1" l="1"/>
  <c r="K38" i="1"/>
  <c r="L139" i="1" l="1"/>
  <c r="L8" i="1"/>
  <c r="J122" i="1" l="1"/>
  <c r="L158" i="1" l="1"/>
  <c r="N102" i="1" l="1"/>
  <c r="M102" i="1"/>
  <c r="L44" i="1" l="1"/>
  <c r="L125" i="1"/>
  <c r="L142" i="1" l="1"/>
  <c r="L115" i="1"/>
  <c r="L56" i="1"/>
  <c r="L51" i="1"/>
  <c r="L140" i="1" l="1"/>
  <c r="L95" i="1"/>
  <c r="N172" i="1" l="1"/>
  <c r="J91" i="1" l="1"/>
  <c r="L79" i="1"/>
  <c r="M52" i="1" l="1"/>
  <c r="L42" i="1"/>
  <c r="L32" i="1"/>
  <c r="L136" i="1" l="1"/>
  <c r="M86" i="1"/>
  <c r="M172" i="1" s="1"/>
  <c r="D177" i="1" s="1"/>
  <c r="K53" i="1" l="1"/>
  <c r="K54" i="1"/>
  <c r="K55" i="1"/>
  <c r="K56" i="1"/>
  <c r="K57" i="1"/>
  <c r="K58" i="1"/>
  <c r="K59" i="1"/>
  <c r="H142" i="1" l="1"/>
  <c r="L145" i="1" l="1"/>
  <c r="L150" i="1" l="1"/>
  <c r="P110" i="1"/>
  <c r="O110" i="1"/>
  <c r="L103" i="1" l="1"/>
  <c r="L45" i="1"/>
  <c r="L40" i="1"/>
  <c r="K32" i="1"/>
  <c r="L27" i="1" l="1"/>
  <c r="J40" i="1"/>
  <c r="O136" i="1" l="1"/>
  <c r="P136" i="1"/>
  <c r="L102" i="1"/>
  <c r="L28" i="1"/>
  <c r="L23" i="1"/>
  <c r="L39" i="1" l="1"/>
  <c r="L64" i="1" l="1"/>
  <c r="J69" i="1" l="1"/>
  <c r="H69" i="1"/>
  <c r="L137" i="1" l="1"/>
  <c r="H137" i="1"/>
  <c r="J24" i="1" l="1"/>
  <c r="H24" i="1"/>
  <c r="J172" i="1" l="1"/>
  <c r="D175" i="1" s="1"/>
  <c r="D172" i="1"/>
  <c r="F172" i="1"/>
  <c r="H172" i="1"/>
  <c r="P172" i="1"/>
  <c r="L70" i="1" l="1"/>
  <c r="K69" i="1" l="1"/>
  <c r="L134" i="1" l="1"/>
  <c r="L76" i="1"/>
  <c r="L172" i="1" l="1"/>
  <c r="D174" i="1" s="1"/>
  <c r="O172" i="1"/>
  <c r="K117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90" i="1"/>
  <c r="K91" i="1"/>
  <c r="K92" i="1"/>
  <c r="K94" i="1"/>
  <c r="K95" i="1"/>
  <c r="K96" i="1"/>
  <c r="K97" i="1"/>
  <c r="K98" i="1"/>
  <c r="K99" i="1"/>
  <c r="K100" i="1"/>
  <c r="K102" i="1"/>
  <c r="K103" i="1"/>
  <c r="K104" i="1"/>
  <c r="K105" i="1"/>
  <c r="K106" i="1"/>
  <c r="K107" i="1"/>
  <c r="K108" i="1"/>
  <c r="K109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7" i="1"/>
  <c r="J174" i="1" l="1"/>
  <c r="K110" i="1"/>
  <c r="D176" i="1" l="1"/>
  <c r="F182" i="1"/>
  <c r="D182" i="1"/>
  <c r="F184" i="1"/>
  <c r="D185" i="1"/>
  <c r="H182" i="1" l="1"/>
  <c r="H185" i="1"/>
  <c r="D184" i="1"/>
  <c r="H184" i="1" s="1"/>
  <c r="K93" i="1"/>
  <c r="K172" i="1" s="1"/>
  <c r="M173" i="1" l="1"/>
  <c r="D179" i="1"/>
  <c r="D180" i="1" s="1"/>
  <c r="J175" i="1"/>
  <c r="J176" i="1" s="1"/>
</calcChain>
</file>

<file path=xl/sharedStrings.xml><?xml version="1.0" encoding="utf-8"?>
<sst xmlns="http://schemas.openxmlformats.org/spreadsheetml/2006/main" count="760" uniqueCount="748">
  <si>
    <t>Nieruchomości stanowiące własność Miasta Piotrków Trybunalski</t>
  </si>
  <si>
    <t>LP.</t>
  </si>
  <si>
    <t>Adres nieruchomości</t>
  </si>
  <si>
    <t>Ilość budynków mieszkalnych</t>
  </si>
  <si>
    <t>Nr inwentarzowy budynków mieszkalnych</t>
  </si>
  <si>
    <t>Ilość budynków użytkowych</t>
  </si>
  <si>
    <t>Nr inwentarzowy budynków użytkowych</t>
  </si>
  <si>
    <t>Ilość lokali mieszkal. oczynsz.</t>
  </si>
  <si>
    <t>Ilość lokali wyłączonych z użytkowania</t>
  </si>
  <si>
    <t>Pow.mieszk. wyłączona z uż.</t>
  </si>
  <si>
    <r>
      <t>Pow. oczynsz. lok. mieszk. m</t>
    </r>
    <r>
      <rPr>
        <b/>
        <vertAlign val="superscript"/>
        <sz val="6"/>
        <rFont val="Arial CE"/>
        <charset val="238"/>
      </rPr>
      <t>2</t>
    </r>
  </si>
  <si>
    <r>
      <t>Pow. oczynsz. lok. użytk. m</t>
    </r>
    <r>
      <rPr>
        <b/>
        <vertAlign val="superscript"/>
        <sz val="6"/>
        <rFont val="Arial CE"/>
        <charset val="238"/>
      </rPr>
      <t>2</t>
    </r>
  </si>
  <si>
    <t>Ilośc lokali użytk.</t>
  </si>
  <si>
    <r>
      <t>Pow. garaży m</t>
    </r>
    <r>
      <rPr>
        <b/>
        <vertAlign val="superscript"/>
        <sz val="6"/>
        <rFont val="Arial CE"/>
        <charset val="238"/>
      </rPr>
      <t>2</t>
    </r>
  </si>
  <si>
    <t>ilość garaży</t>
  </si>
  <si>
    <t>Numer działki</t>
  </si>
  <si>
    <r>
      <t>Pow. działki  m</t>
    </r>
    <r>
      <rPr>
        <b/>
        <vertAlign val="superscript"/>
        <sz val="6"/>
        <rFont val="Arial CE"/>
        <charset val="238"/>
      </rPr>
      <t>2</t>
    </r>
  </si>
  <si>
    <t>Podstawa prawna</t>
  </si>
  <si>
    <t>1-113/220</t>
  </si>
  <si>
    <t>D.1164/92  HIP.765</t>
  </si>
  <si>
    <t>Belzacka 172</t>
  </si>
  <si>
    <t>1-33/222</t>
  </si>
  <si>
    <t>Belzacka  174</t>
  </si>
  <si>
    <t>1-34/221</t>
  </si>
  <si>
    <t xml:space="preserve"> </t>
  </si>
  <si>
    <t>Broniewskiego 14</t>
  </si>
  <si>
    <t>143/57/61/65, 143/36-42</t>
  </si>
  <si>
    <t>1-927</t>
  </si>
  <si>
    <t>211/5</t>
  </si>
  <si>
    <t>1-933</t>
  </si>
  <si>
    <t>211/4</t>
  </si>
  <si>
    <t>150/2</t>
  </si>
  <si>
    <t>Bugajska  21A</t>
  </si>
  <si>
    <t>1-212/284</t>
  </si>
  <si>
    <t>153/2</t>
  </si>
  <si>
    <t>Cisowa  25</t>
  </si>
  <si>
    <t>1-248/523</t>
  </si>
  <si>
    <t>175, 176/2,177/4</t>
  </si>
  <si>
    <t>Cisowa  25A</t>
  </si>
  <si>
    <t>1-145/224</t>
  </si>
  <si>
    <t>Działkowa 6a</t>
  </si>
  <si>
    <t>126/1</t>
  </si>
  <si>
    <t>1894   1920</t>
  </si>
  <si>
    <t>1880   1900</t>
  </si>
  <si>
    <t>Iwaszkiewicza 1</t>
  </si>
  <si>
    <t>1-952</t>
  </si>
  <si>
    <t xml:space="preserve">6/8 6/9 </t>
  </si>
  <si>
    <t>1-334/473</t>
  </si>
  <si>
    <t xml:space="preserve">  1-1136</t>
  </si>
  <si>
    <t>105/3</t>
  </si>
  <si>
    <t>Jerozolimska  30</t>
  </si>
  <si>
    <t>1-34/479</t>
  </si>
  <si>
    <t xml:space="preserve"> 97/2  99</t>
  </si>
  <si>
    <t>Jerozolimska  42</t>
  </si>
  <si>
    <t>1-251/297</t>
  </si>
  <si>
    <t>Konarskiego   4</t>
  </si>
  <si>
    <t>1-621/085</t>
  </si>
  <si>
    <t>Krak. Przedm. 32</t>
  </si>
  <si>
    <t>1-241/182</t>
  </si>
  <si>
    <t>409/3 409/5</t>
  </si>
  <si>
    <t>1-231/307</t>
  </si>
  <si>
    <t>1-619/010</t>
  </si>
  <si>
    <t>1-620/007</t>
  </si>
  <si>
    <t>1-1054</t>
  </si>
  <si>
    <t>Łazienna-Mokra 6</t>
  </si>
  <si>
    <t>1-625/089</t>
  </si>
  <si>
    <t>Łódzka 12</t>
  </si>
  <si>
    <t>1-127/230</t>
  </si>
  <si>
    <t>Łódzka 14</t>
  </si>
  <si>
    <t>1-128/231</t>
  </si>
  <si>
    <t>Łódzka 17</t>
  </si>
  <si>
    <t>1-129/232</t>
  </si>
  <si>
    <t>461/9</t>
  </si>
  <si>
    <t>Łódzka  68</t>
  </si>
  <si>
    <t>1-131/235</t>
  </si>
  <si>
    <t>Mickiewicza 4</t>
  </si>
  <si>
    <t>1-591/011</t>
  </si>
  <si>
    <t>1-740/017</t>
  </si>
  <si>
    <t>174/2</t>
  </si>
  <si>
    <t>1-739/016</t>
  </si>
  <si>
    <t>1-738/015</t>
  </si>
  <si>
    <t>Mickiewicza  27</t>
  </si>
  <si>
    <t>1-458/1005</t>
  </si>
  <si>
    <t>Mieszka I 12</t>
  </si>
  <si>
    <t>Mireckiego 1</t>
  </si>
  <si>
    <t>1-916</t>
  </si>
  <si>
    <t>277/7,528/3</t>
  </si>
  <si>
    <t xml:space="preserve">1-610/019                           </t>
  </si>
  <si>
    <t>1-750/063</t>
  </si>
  <si>
    <t>Nowowiejska 35</t>
  </si>
  <si>
    <t>1-802</t>
  </si>
  <si>
    <t>1-149/244</t>
  </si>
  <si>
    <t>483/15</t>
  </si>
  <si>
    <t>1-266/314</t>
  </si>
  <si>
    <t>Partyzantów 15</t>
  </si>
  <si>
    <t>1-592/026</t>
  </si>
  <si>
    <t>HIP.1034</t>
  </si>
  <si>
    <t>Pereca 18</t>
  </si>
  <si>
    <t>1-329/472</t>
  </si>
  <si>
    <t>Pereca  19</t>
  </si>
  <si>
    <t>1-309/419</t>
  </si>
  <si>
    <t>Piastowska 10</t>
  </si>
  <si>
    <t>283/30</t>
  </si>
  <si>
    <t>1-go Maja 12</t>
  </si>
  <si>
    <t>1-123/237</t>
  </si>
  <si>
    <t>1-go Maja 16/18</t>
  </si>
  <si>
    <t>1-125/239      1-124/238</t>
  </si>
  <si>
    <t>554/2</t>
  </si>
  <si>
    <t>Pl. Czarnieckiego 3</t>
  </si>
  <si>
    <t>1-614/092       1-616/094</t>
  </si>
  <si>
    <t xml:space="preserve"> 62/1</t>
  </si>
  <si>
    <t>Pl. Czarnieckiego 6/7 - Zamurowa 1</t>
  </si>
  <si>
    <t>1-244/505</t>
  </si>
  <si>
    <t>1-1174         1-1175           1-1176           1-1177           1-245/504  1910r.bud.</t>
  </si>
  <si>
    <t xml:space="preserve"> 71/1</t>
  </si>
  <si>
    <t>Pl. Czarnieckiego 8</t>
  </si>
  <si>
    <t>1890  1890  1925  1920</t>
  </si>
  <si>
    <t>1-875                     1-882                     1-877                 1-876</t>
  </si>
  <si>
    <t>1-881</t>
  </si>
  <si>
    <t>71/2,72/1</t>
  </si>
  <si>
    <t>Zamurowa 3</t>
  </si>
  <si>
    <t>Pl.Czarnieckiego 9  /Zamkowa 2</t>
  </si>
  <si>
    <t>1-392/420       1-508</t>
  </si>
  <si>
    <t>73/3</t>
  </si>
  <si>
    <t>Pl. Litewski 6</t>
  </si>
  <si>
    <t>Pl. Niepodległości 4</t>
  </si>
  <si>
    <t>1-593/095</t>
  </si>
  <si>
    <t>1890         1959        1959</t>
  </si>
  <si>
    <t>1-351/483                 1-352/484                  1-353/485</t>
  </si>
  <si>
    <t>95, 96</t>
  </si>
  <si>
    <t>1-150/245</t>
  </si>
  <si>
    <t>Próchnika 28</t>
  </si>
  <si>
    <t>1905   1920</t>
  </si>
  <si>
    <t>1-730/194                       1-731/193</t>
  </si>
  <si>
    <t xml:space="preserve"> 421/1,421/2</t>
  </si>
  <si>
    <t xml:space="preserve"> 2/2</t>
  </si>
  <si>
    <t>Przemysłowa  29A</t>
  </si>
  <si>
    <t>1-429/536</t>
  </si>
  <si>
    <t xml:space="preserve">Przemysłowa 35a </t>
  </si>
  <si>
    <t>2007  2009    2009</t>
  </si>
  <si>
    <t>1-964                   1-1001              1-1002</t>
  </si>
  <si>
    <t>149 /6</t>
  </si>
  <si>
    <t>1-88/264</t>
  </si>
  <si>
    <t>25/30</t>
  </si>
  <si>
    <t>Rembeka 9/11</t>
  </si>
  <si>
    <t>1-962</t>
  </si>
  <si>
    <t>25/32</t>
  </si>
  <si>
    <t>Roosevelta 38</t>
  </si>
  <si>
    <t>1-425/537</t>
  </si>
  <si>
    <t>249/1, 249/2</t>
  </si>
  <si>
    <t xml:space="preserve">Rwańska 1 /Rynek Tryb.3 </t>
  </si>
  <si>
    <t>1-594/122</t>
  </si>
  <si>
    <t>Rycerska 11                  Plac Niepodległości 6/7</t>
  </si>
  <si>
    <t>1875  1885  1880  1953</t>
  </si>
  <si>
    <t>1-633/125            1-635/127             1-636/128              1-634/126</t>
  </si>
  <si>
    <t>Rycerska 16</t>
  </si>
  <si>
    <t>1-637/129</t>
  </si>
  <si>
    <t>Rynek  Tryb. 2   Sieradzka 2</t>
  </si>
  <si>
    <t>Rynek Tryb. 4   Rwańska 3</t>
  </si>
  <si>
    <t>1835  1880</t>
  </si>
  <si>
    <t>1-648/106        1-650/108</t>
  </si>
  <si>
    <t>D.UW 1338/92</t>
  </si>
  <si>
    <t>Sienkiewicza 9</t>
  </si>
  <si>
    <t>93/4,93/5</t>
  </si>
  <si>
    <t>1-732/179</t>
  </si>
  <si>
    <t>Sieradzka 8</t>
  </si>
  <si>
    <t>1-630/134         1-631/135</t>
  </si>
  <si>
    <t>Słowackiego 1</t>
  </si>
  <si>
    <t>1850  1909</t>
  </si>
  <si>
    <t>1-672/031          1-671/030</t>
  </si>
  <si>
    <t>124/4</t>
  </si>
  <si>
    <t>Słowackiego 13</t>
  </si>
  <si>
    <t>1930   1960    1960</t>
  </si>
  <si>
    <t>1-673/034         1-675/032      1-674/033</t>
  </si>
  <si>
    <t>116/4</t>
  </si>
  <si>
    <t>Słowackiego 19a</t>
  </si>
  <si>
    <t>90/2</t>
  </si>
  <si>
    <t xml:space="preserve">Dąbrowskiego 22 </t>
  </si>
  <si>
    <t>1-1027           1-1028</t>
  </si>
  <si>
    <t>Słowackiego 34,  34E,34F,34d</t>
  </si>
  <si>
    <t>1910   1910</t>
  </si>
  <si>
    <t>1-677/035              1-678/036</t>
  </si>
  <si>
    <t>134/1,134/2,      134/6,134/7,</t>
  </si>
  <si>
    <t>1980         1910</t>
  </si>
  <si>
    <t>1-679/075               1-680/076</t>
  </si>
  <si>
    <t>Słowackiego 53</t>
  </si>
  <si>
    <t>1930    1930</t>
  </si>
  <si>
    <t>1-518               1-519</t>
  </si>
  <si>
    <t>Słowackiego 57</t>
  </si>
  <si>
    <t>1935    1935    1935</t>
  </si>
  <si>
    <t>1-99/252              1-100/251                  1-101/250</t>
  </si>
  <si>
    <t>391/1-4</t>
  </si>
  <si>
    <t>Sosnowa  4</t>
  </si>
  <si>
    <t>1-687/200</t>
  </si>
  <si>
    <t>175/2</t>
  </si>
  <si>
    <t>Sosnowa 7</t>
  </si>
  <si>
    <t>1-689/201</t>
  </si>
  <si>
    <t>Starowarszawska  5</t>
  </si>
  <si>
    <t>Starowarszawska  6</t>
  </si>
  <si>
    <t>1872      1900    1900</t>
  </si>
  <si>
    <t>1-374/427            1-375/428               1-373/456</t>
  </si>
  <si>
    <t>Starowarszawska  8</t>
  </si>
  <si>
    <t>1-376/429</t>
  </si>
  <si>
    <t>Starowarszawska  9</t>
  </si>
  <si>
    <t>1890    1890</t>
  </si>
  <si>
    <t>1-378/431          1-379-432</t>
  </si>
  <si>
    <t>187/1 187/2</t>
  </si>
  <si>
    <t>Starowarszawska  11</t>
  </si>
  <si>
    <t>1-383/435</t>
  </si>
  <si>
    <t>188/1/2/3/4</t>
  </si>
  <si>
    <t>Starowarszawska  13</t>
  </si>
  <si>
    <t>Starowarszawska  15</t>
  </si>
  <si>
    <t>1895   1895    1920</t>
  </si>
  <si>
    <t>1-386/448              1-405/447                  1-406/446</t>
  </si>
  <si>
    <t>Stronczyńskiego 4</t>
  </si>
  <si>
    <t>Sulejowska 35</t>
  </si>
  <si>
    <t>1-197/336</t>
  </si>
  <si>
    <t>Sulejowska 37</t>
  </si>
  <si>
    <t>1-198/337</t>
  </si>
  <si>
    <t>Sulejowska 47</t>
  </si>
  <si>
    <t>1-854                 1-855</t>
  </si>
  <si>
    <t>231/51</t>
  </si>
  <si>
    <t>Sulejowska 53</t>
  </si>
  <si>
    <t>1900   1900</t>
  </si>
  <si>
    <t>1-192/341             1-193/342</t>
  </si>
  <si>
    <t>Sulejowska 55</t>
  </si>
  <si>
    <t>1-201/343</t>
  </si>
  <si>
    <t>Sulejowska 108</t>
  </si>
  <si>
    <t>1-190/345</t>
  </si>
  <si>
    <t>Sygietyńskiego 3</t>
  </si>
  <si>
    <t>1-818</t>
  </si>
  <si>
    <t>5/8</t>
  </si>
  <si>
    <t>1870   1870   1870</t>
  </si>
  <si>
    <t>1-162/217</t>
  </si>
  <si>
    <t>261/27</t>
  </si>
  <si>
    <t>277/25</t>
  </si>
  <si>
    <t>Wiejska  6</t>
  </si>
  <si>
    <t>1880    1890</t>
  </si>
  <si>
    <t>1-214/358            1-242/359</t>
  </si>
  <si>
    <t>21/1,21/2</t>
  </si>
  <si>
    <t>Wierzeje 8</t>
  </si>
  <si>
    <t>1-205/361</t>
  </si>
  <si>
    <t>Wierzeje 13</t>
  </si>
  <si>
    <t>1-206/362</t>
  </si>
  <si>
    <t>132/1, 132/2</t>
  </si>
  <si>
    <t>Wierzeje 31A</t>
  </si>
  <si>
    <t>1-207/363</t>
  </si>
  <si>
    <t>150 / 3</t>
  </si>
  <si>
    <t>Wierzeje 31B</t>
  </si>
  <si>
    <t>1-208/364</t>
  </si>
  <si>
    <t>Witosa  49/51</t>
  </si>
  <si>
    <t>1-240/365</t>
  </si>
  <si>
    <t>Wojska Polskiego 1</t>
  </si>
  <si>
    <t>1880  1890  1955   1939</t>
  </si>
  <si>
    <t>1-289/369          1-288/368           1-284/367         1-283/366</t>
  </si>
  <si>
    <t>Wojska Polskiego 3</t>
  </si>
  <si>
    <t>1885  1886</t>
  </si>
  <si>
    <t>1-276/372          1-277/370</t>
  </si>
  <si>
    <t>Wojska Polskiego 5</t>
  </si>
  <si>
    <t>1881    1897   1960</t>
  </si>
  <si>
    <t xml:space="preserve">1-281/374         1-278/373         </t>
  </si>
  <si>
    <t>1-1198</t>
  </si>
  <si>
    <t>Wojska Polskiego 7</t>
  </si>
  <si>
    <t>1-279/375              1-286/376</t>
  </si>
  <si>
    <t>32/1 32/2 32/3</t>
  </si>
  <si>
    <t>Wojska Polskiego  8</t>
  </si>
  <si>
    <t>1-314/494</t>
  </si>
  <si>
    <t>1886    1864</t>
  </si>
  <si>
    <t>1-285/377               1-257/378</t>
  </si>
  <si>
    <t>1870    1880    1880</t>
  </si>
  <si>
    <t>1-315/496                 1-316/498                1-318/495</t>
  </si>
  <si>
    <t>Wojska Polskiego 11</t>
  </si>
  <si>
    <t>1892    1895</t>
  </si>
  <si>
    <t>1-256/379       1-255/380</t>
  </si>
  <si>
    <t>Wojska Polskiego 13</t>
  </si>
  <si>
    <t xml:space="preserve">1884    1920 </t>
  </si>
  <si>
    <t>1-254/382              1-253/381</t>
  </si>
  <si>
    <t xml:space="preserve"> 28/2 28/3 28/4 28/5</t>
  </si>
  <si>
    <t>Wiejska 3</t>
  </si>
  <si>
    <t>1-319/439</t>
  </si>
  <si>
    <t>Wojska Polskiego 29/31</t>
  </si>
  <si>
    <t>1889  1900  1900</t>
  </si>
  <si>
    <t>1-700/148         1-701/147      1-702/146</t>
  </si>
  <si>
    <t>1-706/142</t>
  </si>
  <si>
    <t>15/1/3/6/9/10</t>
  </si>
  <si>
    <t>Wojska Polskiego 33</t>
  </si>
  <si>
    <t>1884    1912   1893</t>
  </si>
  <si>
    <t>1-709/149             1-708/150              1-707/151</t>
  </si>
  <si>
    <t>13</t>
  </si>
  <si>
    <t>Wojska Polskiego 48</t>
  </si>
  <si>
    <t>1875   1875    1875</t>
  </si>
  <si>
    <t>Wojska Polskiego 50</t>
  </si>
  <si>
    <t>1900    1900</t>
  </si>
  <si>
    <t>1-659/045             1-660/046</t>
  </si>
  <si>
    <t>99/1,99/2</t>
  </si>
  <si>
    <t>Wojska Polskiego 51</t>
  </si>
  <si>
    <t>1853   1934    1930</t>
  </si>
  <si>
    <t xml:space="preserve">1904   1904  1904   1904 </t>
  </si>
  <si>
    <t>1-1204                   1-1205                     1-1206                        1-1207</t>
  </si>
  <si>
    <t>128/1</t>
  </si>
  <si>
    <t>Wojska Polskiego 54</t>
  </si>
  <si>
    <t>1-989</t>
  </si>
  <si>
    <t>78/2</t>
  </si>
  <si>
    <t>Wojska Polskiego  64</t>
  </si>
  <si>
    <t>1900  1900  1912</t>
  </si>
  <si>
    <t>Wojska Polskiego 73</t>
  </si>
  <si>
    <t>Wojska Polskiego 111</t>
  </si>
  <si>
    <t>1-118/261</t>
  </si>
  <si>
    <t>Wojska Polskiego 111A</t>
  </si>
  <si>
    <t>1-119/260</t>
  </si>
  <si>
    <t>Wojska Polskiego 122</t>
  </si>
  <si>
    <t>1-121/262</t>
  </si>
  <si>
    <t>149/16</t>
  </si>
  <si>
    <t>Wolborska  4 - Rzemieślnicza</t>
  </si>
  <si>
    <t>410/13-411/11</t>
  </si>
  <si>
    <t>Wolborska 100</t>
  </si>
  <si>
    <t>1-889</t>
  </si>
  <si>
    <t>Wronia 55/59</t>
  </si>
  <si>
    <t>1-80/524</t>
  </si>
  <si>
    <t>2/32 2/33,2/35</t>
  </si>
  <si>
    <t>Wrzosowa  3</t>
  </si>
  <si>
    <t>291</t>
  </si>
  <si>
    <t>Wysoka 15</t>
  </si>
  <si>
    <t>1-512</t>
  </si>
  <si>
    <t>481/1, 480</t>
  </si>
  <si>
    <t>Wysoka 17</t>
  </si>
  <si>
    <t>479/37, 479/48</t>
  </si>
  <si>
    <t>1-979</t>
  </si>
  <si>
    <t>73/4</t>
  </si>
  <si>
    <t>1-297/442</t>
  </si>
  <si>
    <t>Zamurowa 10</t>
  </si>
  <si>
    <t>Starowarszawska 4</t>
  </si>
  <si>
    <t>1-368/423</t>
  </si>
  <si>
    <t>Zamurowa 2 /W.Pol.16</t>
  </si>
  <si>
    <t>1-246/506</t>
  </si>
  <si>
    <t>75/1 473</t>
  </si>
  <si>
    <t>1950    1970</t>
  </si>
  <si>
    <t xml:space="preserve">1-303/440              1-302/441              </t>
  </si>
  <si>
    <t xml:space="preserve">Zamurowa 5 </t>
  </si>
  <si>
    <t>1-980</t>
  </si>
  <si>
    <t>73/2</t>
  </si>
  <si>
    <t>Zamurowa 11</t>
  </si>
  <si>
    <t>1880    1880</t>
  </si>
  <si>
    <t>126/2</t>
  </si>
  <si>
    <t>Zamurowa 16</t>
  </si>
  <si>
    <t>1-144/269</t>
  </si>
  <si>
    <t>Żeromskiego 7/9</t>
  </si>
  <si>
    <t>457/5, 455/7</t>
  </si>
  <si>
    <t>Żeromskiego 16</t>
  </si>
  <si>
    <t>RAZEM :</t>
  </si>
  <si>
    <t>pow.oczynszowa lokali mieszkalnych</t>
  </si>
  <si>
    <t>pow.mieszkalna wyłączona z użytkowania</t>
  </si>
  <si>
    <t>pow.oczynszowana lokali użytkowych</t>
  </si>
  <si>
    <t>ogółem pow.lokali  mieszkalnych</t>
  </si>
  <si>
    <t xml:space="preserve"> pow.oczynszowana lokali użytkowych</t>
  </si>
  <si>
    <t>pow.lokali użytkowych wyłączonych z użytkowania</t>
  </si>
  <si>
    <t>ogółem pow.lokali  użytkowych</t>
  </si>
  <si>
    <t>ogółem pow.wydzierżawiona</t>
  </si>
  <si>
    <t>ilość budynków</t>
  </si>
  <si>
    <t>mieszkalnych</t>
  </si>
  <si>
    <t>użytkowych</t>
  </si>
  <si>
    <t>ogółem</t>
  </si>
  <si>
    <t>ilość lokali</t>
  </si>
  <si>
    <t>oczynszowanych</t>
  </si>
  <si>
    <t xml:space="preserve">wyłączonych z użytkowania </t>
  </si>
  <si>
    <t>1-20154</t>
  </si>
  <si>
    <t xml:space="preserve">1-141/247        </t>
  </si>
  <si>
    <t>1930  1934</t>
  </si>
  <si>
    <t>PT1P/00000749/8</t>
  </si>
  <si>
    <t>165/2</t>
  </si>
  <si>
    <t xml:space="preserve">248/10;248/33  248/44 </t>
  </si>
  <si>
    <t xml:space="preserve"> 193/2</t>
  </si>
  <si>
    <t xml:space="preserve">1-274/322                  </t>
  </si>
  <si>
    <t>162/5/6/8/9/11</t>
  </si>
  <si>
    <t>bud.gosp.komórki</t>
  </si>
  <si>
    <t>1-993</t>
  </si>
  <si>
    <t>1-1074           1-1075</t>
  </si>
  <si>
    <t>ogrodzenie</t>
  </si>
  <si>
    <t>2-4453</t>
  </si>
  <si>
    <t>1-1110</t>
  </si>
  <si>
    <t>2-92/526</t>
  </si>
  <si>
    <t>1-324/451</t>
  </si>
  <si>
    <t>1-1133                1-328/452</t>
  </si>
  <si>
    <t>1-599/079                  1-600/080                    1-601/081</t>
  </si>
  <si>
    <t>1-1134                     1-1135</t>
  </si>
  <si>
    <t>1-333/510</t>
  </si>
  <si>
    <t>1-1138</t>
  </si>
  <si>
    <t>2-4446</t>
  </si>
  <si>
    <t>1-735/060</t>
  </si>
  <si>
    <t>206/2/3,    207/1/2,             208/1/2</t>
  </si>
  <si>
    <t>1-995</t>
  </si>
  <si>
    <t>1-1043</t>
  </si>
  <si>
    <t>1-994                       1-1042</t>
  </si>
  <si>
    <t>1-1080</t>
  </si>
  <si>
    <t>2-2311</t>
  </si>
  <si>
    <t>1-1141</t>
  </si>
  <si>
    <t>1-1092</t>
  </si>
  <si>
    <t>1-1076                    1-1077</t>
  </si>
  <si>
    <t>1-1094              1-1095                  1-1096</t>
  </si>
  <si>
    <t>2-4456</t>
  </si>
  <si>
    <t>1-143/249</t>
  </si>
  <si>
    <t>1-1145</t>
  </si>
  <si>
    <t>1-20155</t>
  </si>
  <si>
    <t>1-682/155</t>
  </si>
  <si>
    <t>1-686/160</t>
  </si>
  <si>
    <t>1-1029</t>
  </si>
  <si>
    <t>1-1030                1-1031                1-1032                    1-729/067</t>
  </si>
  <si>
    <t>1-1015                   1-1014</t>
  </si>
  <si>
    <t>2-4452</t>
  </si>
  <si>
    <t xml:space="preserve">1-676/076    </t>
  </si>
  <si>
    <t>1-1034</t>
  </si>
  <si>
    <t>1-1082             1-520                    1-521A</t>
  </si>
  <si>
    <t>2-379</t>
  </si>
  <si>
    <t>1-688/211</t>
  </si>
  <si>
    <t>1-1147              do  1-1152</t>
  </si>
  <si>
    <t>2-4458</t>
  </si>
  <si>
    <t>1-1156</t>
  </si>
  <si>
    <t>1-1157</t>
  </si>
  <si>
    <t>1-1162</t>
  </si>
  <si>
    <t>1-605/137                   1-606/138A</t>
  </si>
  <si>
    <t>1-1035</t>
  </si>
  <si>
    <t xml:space="preserve">1-951                    1-1099 </t>
  </si>
  <si>
    <t>1-856                1-1102</t>
  </si>
  <si>
    <t>1-988</t>
  </si>
  <si>
    <t>1-693/163</t>
  </si>
  <si>
    <t>1-914</t>
  </si>
  <si>
    <t>1-915</t>
  </si>
  <si>
    <t>1-1104</t>
  </si>
  <si>
    <t>1-188/404</t>
  </si>
  <si>
    <t>1-170/425</t>
  </si>
  <si>
    <t>1-166/408</t>
  </si>
  <si>
    <t>1-167/407</t>
  </si>
  <si>
    <t xml:space="preserve">1-1201               </t>
  </si>
  <si>
    <t>1-164/409</t>
  </si>
  <si>
    <t>1-1191</t>
  </si>
  <si>
    <t>1-1185         1-1186         1-1187</t>
  </si>
  <si>
    <t>1-1037</t>
  </si>
  <si>
    <t>1-1209                  1-1210</t>
  </si>
  <si>
    <t>1-990                1-1000</t>
  </si>
  <si>
    <t>1-152/278</t>
  </si>
  <si>
    <t>1-153/279</t>
  </si>
  <si>
    <t>1-1079</t>
  </si>
  <si>
    <t>1-1193             1-1194                 1-1195</t>
  </si>
  <si>
    <t>2-91/510</t>
  </si>
  <si>
    <t>1-295/444</t>
  </si>
  <si>
    <t>1-435/538</t>
  </si>
  <si>
    <t>1-1022</t>
  </si>
  <si>
    <t>1-717/146</t>
  </si>
  <si>
    <t>1-428/535</t>
  </si>
  <si>
    <t>1-965 sanitariat</t>
  </si>
  <si>
    <t>1-317/597</t>
  </si>
  <si>
    <t>1-249/523</t>
  </si>
  <si>
    <t>1-19015</t>
  </si>
  <si>
    <t>1-420/514      1-421/513</t>
  </si>
  <si>
    <t>1-20215</t>
  </si>
  <si>
    <t>1-1026</t>
  </si>
  <si>
    <t>1-20870       1-20869</t>
  </si>
  <si>
    <t xml:space="preserve">1-596/140            1-597/139        1-692/141    </t>
  </si>
  <si>
    <t>1-661/047          1-662/048          1-663/048</t>
  </si>
  <si>
    <t>1-668/055         1-669/055           1-670/056</t>
  </si>
  <si>
    <t>1-296/470         1-304/468          1-1146</t>
  </si>
  <si>
    <t>1-393/453                  1-17353</t>
  </si>
  <si>
    <t>1-1154                   1-1155</t>
  </si>
  <si>
    <t xml:space="preserve">1-1199                    1-1200                      1-168/406                   1-169/405 </t>
  </si>
  <si>
    <t>1-163/411     1-177/402</t>
  </si>
  <si>
    <t xml:space="preserve">1-713/072           1-1036  </t>
  </si>
  <si>
    <t>1-1038                  1-1039</t>
  </si>
  <si>
    <t>1-271/386</t>
  </si>
  <si>
    <t>1-298/443  1-299/469</t>
  </si>
  <si>
    <t>1-160/281        1-1078</t>
  </si>
  <si>
    <t>1-716/214</t>
  </si>
  <si>
    <t xml:space="preserve">1-10N </t>
  </si>
  <si>
    <t>1-1143                 1-1144      1-987</t>
  </si>
  <si>
    <t>Nr inwent. garaży</t>
  </si>
  <si>
    <t>1-179/390      1-1091</t>
  </si>
  <si>
    <t>PT1P/00075426/4</t>
  </si>
  <si>
    <t>PT1P/00105609/1</t>
  </si>
  <si>
    <t>PT1P/00108762/2</t>
  </si>
  <si>
    <t>PT1P/00105231/0</t>
  </si>
  <si>
    <t>PT1P/00014730/3</t>
  </si>
  <si>
    <t>PT1P/00098903/9</t>
  </si>
  <si>
    <t>PT1P/00008385/4</t>
  </si>
  <si>
    <t>PT1P/00103207/9</t>
  </si>
  <si>
    <t>PT1P/00103351/3</t>
  </si>
  <si>
    <t>obręb</t>
  </si>
  <si>
    <t>PT1P/00102567/3 D.UW.7395/91</t>
  </si>
  <si>
    <t xml:space="preserve"> D.UW 1979/92</t>
  </si>
  <si>
    <t>PT1P/00098976/1</t>
  </si>
  <si>
    <t>Rembeka 1/5           25-go Pułku Piechoty 18</t>
  </si>
  <si>
    <t>PT1P/00073193/7</t>
  </si>
  <si>
    <t>PT1P/00099958/6</t>
  </si>
  <si>
    <t>PT1P/00093818/1</t>
  </si>
  <si>
    <t>36/2</t>
  </si>
  <si>
    <t>PT1P/00000926/3</t>
  </si>
  <si>
    <t xml:space="preserve">PT1P/00105948/9   </t>
  </si>
  <si>
    <t xml:space="preserve">PT1P/00103175/5 </t>
  </si>
  <si>
    <t xml:space="preserve">PT1P/00108361/1  </t>
  </si>
  <si>
    <t xml:space="preserve">PT1P/00102666/7   </t>
  </si>
  <si>
    <t xml:space="preserve">PT1P/00038645/4 </t>
  </si>
  <si>
    <t xml:space="preserve">PT1P/00001058/4 </t>
  </si>
  <si>
    <t xml:space="preserve">PT1P/00102463/4 </t>
  </si>
  <si>
    <t xml:space="preserve">PT1P/00102664/3           </t>
  </si>
  <si>
    <t xml:space="preserve">PT1P/00000257/2   </t>
  </si>
  <si>
    <t xml:space="preserve">PT1P/00104723/9  </t>
  </si>
  <si>
    <t xml:space="preserve">PT1P/00088707/2          </t>
  </si>
  <si>
    <t xml:space="preserve">PT1P/00101439/0  </t>
  </si>
  <si>
    <t>PT1P/00000248/6</t>
  </si>
  <si>
    <t xml:space="preserve">PT1P/00104810/6    </t>
  </si>
  <si>
    <t>PT1P/00106505/9</t>
  </si>
  <si>
    <t xml:space="preserve"> Wojska Polskiego 32                     Toruńska 5</t>
  </si>
  <si>
    <t>PT1P/00000001/3</t>
  </si>
  <si>
    <t>PT1P/00008803/1</t>
  </si>
  <si>
    <t>PT1P/00103352/0</t>
  </si>
  <si>
    <t>PT1P/00047371/8</t>
  </si>
  <si>
    <t>PT1P/00102462/7</t>
  </si>
  <si>
    <t xml:space="preserve">1-1097       1-1100       1-1101 </t>
  </si>
  <si>
    <t>1-1098</t>
  </si>
  <si>
    <t>8-444              8-445                   8-446</t>
  </si>
  <si>
    <t>8-442</t>
  </si>
  <si>
    <t>1-404/464          1-407/463    8-489</t>
  </si>
  <si>
    <t>1-1137       8-480        8-481</t>
  </si>
  <si>
    <t>1-232/306            8-461            8-462             8-464</t>
  </si>
  <si>
    <t>1-154/272      8-441</t>
  </si>
  <si>
    <t>1-155/273        8-439          8-440</t>
  </si>
  <si>
    <t>1-1087         8-437         8-438</t>
  </si>
  <si>
    <t>8-427</t>
  </si>
  <si>
    <t>8-451          8-452s</t>
  </si>
  <si>
    <t>8-420</t>
  </si>
  <si>
    <t>8-499</t>
  </si>
  <si>
    <t>1-751/153          1-752/157          8-482            8-483</t>
  </si>
  <si>
    <t>1-1023         8-408</t>
  </si>
  <si>
    <t>8-435</t>
  </si>
  <si>
    <t>1-426/534        1-427/874        1-1025      8-409</t>
  </si>
  <si>
    <t>1-1033                    1-17354     8-410  do     8-413</t>
  </si>
  <si>
    <t>1-1083               1-1084                   1-1085                1-1086         8-432         8-434</t>
  </si>
  <si>
    <t>1-1158                 1-1159        8-485         8-486</t>
  </si>
  <si>
    <t>1-369/455    8-484</t>
  </si>
  <si>
    <t>1-186/398      1-1107           8-17356ś</t>
  </si>
  <si>
    <t>8-455</t>
  </si>
  <si>
    <t>1-178/403      1-1108               1-1109               1-986         8-459         8-460           8-549ś</t>
  </si>
  <si>
    <t>8-512</t>
  </si>
  <si>
    <t>1-1197        8-509g           8-510          8-511</t>
  </si>
  <si>
    <t>8-429           8-430</t>
  </si>
  <si>
    <t>8-458</t>
  </si>
  <si>
    <t>1-954 do 960                   1-883            8-393ś</t>
  </si>
  <si>
    <t>1-300/467     1-301/466   8-501m</t>
  </si>
  <si>
    <t>8-395ś</t>
  </si>
  <si>
    <t>8-415 do        8-419</t>
  </si>
  <si>
    <t>1-1071       8-396ś</t>
  </si>
  <si>
    <t>1-1196         8-457sz</t>
  </si>
  <si>
    <t>PT1P/000071226  /4</t>
  </si>
  <si>
    <t>PT1P/00044812/1</t>
  </si>
  <si>
    <t>PT1P/00044612/9</t>
  </si>
  <si>
    <t>PT1P/00080259/0</t>
  </si>
  <si>
    <t>PT1P/00079597/1</t>
  </si>
  <si>
    <t>PT1P/00097318/4</t>
  </si>
  <si>
    <t>PT1P/00011675/8</t>
  </si>
  <si>
    <t>PT1P/00038646/1</t>
  </si>
  <si>
    <t>PT1P/00070570/3 udział 51668/94990</t>
  </si>
  <si>
    <t>PT1P/00049979/4</t>
  </si>
  <si>
    <t>PT1P/00010250/6</t>
  </si>
  <si>
    <t>PT1P/00056051/5       PT1P/00082768/5</t>
  </si>
  <si>
    <t>PT1P/00049432/8</t>
  </si>
  <si>
    <t>PT1P/00012309/9</t>
  </si>
  <si>
    <t>PT1P/00060939/5</t>
  </si>
  <si>
    <t>PT1P/00069483/6</t>
  </si>
  <si>
    <t>PT1P/00055916/0</t>
  </si>
  <si>
    <t>PT1P/00078561/3</t>
  </si>
  <si>
    <t>PT1P/00081413/5</t>
  </si>
  <si>
    <t>PT1P/00053965/4</t>
  </si>
  <si>
    <t>PT1P/00072797/4</t>
  </si>
  <si>
    <t xml:space="preserve">PT1P/00011032/9 </t>
  </si>
  <si>
    <t>PT1P/00047813/9</t>
  </si>
  <si>
    <t>PT1P/00080792/8</t>
  </si>
  <si>
    <t>PT1P/00044811/4</t>
  </si>
  <si>
    <t>PT1P/00065887/0</t>
  </si>
  <si>
    <t>PT1P/00070613/7</t>
  </si>
  <si>
    <t>PT1P/00081443/4</t>
  </si>
  <si>
    <t>PT1P/00000239/0</t>
  </si>
  <si>
    <t>PT1P/00046224/6</t>
  </si>
  <si>
    <t>PT1P/00026054/7</t>
  </si>
  <si>
    <t>PT1P/00000037/4</t>
  </si>
  <si>
    <t xml:space="preserve">PT1P/00097149/8        </t>
  </si>
  <si>
    <t>PT1P/00001018/2</t>
  </si>
  <si>
    <t>PT1P/00056444/7</t>
  </si>
  <si>
    <t>PT1P/00048758/2</t>
  </si>
  <si>
    <t>PT1P/00073607/3</t>
  </si>
  <si>
    <t>PT1P/00053962/3</t>
  </si>
  <si>
    <t>PT1P/00073786/1</t>
  </si>
  <si>
    <t>PT1P/00003478/8               PT1P/00003449/6</t>
  </si>
  <si>
    <t>PT1P/00068501/2</t>
  </si>
  <si>
    <t>PT1P/00065351/4</t>
  </si>
  <si>
    <t>PT1P/00010894/2</t>
  </si>
  <si>
    <t>PT1P/00000927/0</t>
  </si>
  <si>
    <t xml:space="preserve">PT1P/00081446/5 </t>
  </si>
  <si>
    <t>PT1P/00000709/6</t>
  </si>
  <si>
    <t>PT1P/00073024/2 D7224/4/6811</t>
  </si>
  <si>
    <t>PT1P/00081259/7</t>
  </si>
  <si>
    <t>PT1P/00062737/3</t>
  </si>
  <si>
    <t>PT1P/00066120/3</t>
  </si>
  <si>
    <t xml:space="preserve">PT1P/00096704/0            </t>
  </si>
  <si>
    <t>PT1P/00050379/8</t>
  </si>
  <si>
    <t>PT1P/00047323/7</t>
  </si>
  <si>
    <t>PT1P/00000061/1</t>
  </si>
  <si>
    <t>PT1P/00052935/8</t>
  </si>
  <si>
    <t>PT1P/00078562/0</t>
  </si>
  <si>
    <t>PT1P/00001062/5</t>
  </si>
  <si>
    <t>PT1P/00049438/0</t>
  </si>
  <si>
    <t>PT1P/00074727/7</t>
  </si>
  <si>
    <t>PT1P/00053193/1</t>
  </si>
  <si>
    <t>PT1P/00000973/7</t>
  </si>
  <si>
    <t xml:space="preserve">PT1P/00082062/6                    </t>
  </si>
  <si>
    <t>PT1P/00055998/8</t>
  </si>
  <si>
    <t>PT1P/00097223/1                     D.RGIII.7224-4/2005/92</t>
  </si>
  <si>
    <t>PT1P/00051072/3</t>
  </si>
  <si>
    <t xml:space="preserve">PT1P/00092678/0                                             </t>
  </si>
  <si>
    <t xml:space="preserve">PT1P/00000986/1             </t>
  </si>
  <si>
    <t>PT1P/00049789/5                    PT1P/00048408/4</t>
  </si>
  <si>
    <t>PT1P/00048817/4</t>
  </si>
  <si>
    <t>PT1P/00057737/5</t>
  </si>
  <si>
    <t>PT1P/00049108/8</t>
  </si>
  <si>
    <t>PT1P/00061513/0</t>
  </si>
  <si>
    <t>PT1P/00048867/9</t>
  </si>
  <si>
    <t>PT1P/00060165/8</t>
  </si>
  <si>
    <t>PT1P/00001004/1</t>
  </si>
  <si>
    <t>PT1P/00053640/0</t>
  </si>
  <si>
    <t>PT1P/00063148/4</t>
  </si>
  <si>
    <t>PT1P/00011103/8</t>
  </si>
  <si>
    <t>PT1P/00000063/5</t>
  </si>
  <si>
    <t>1-366/421       1-367/422     1-365/454</t>
  </si>
  <si>
    <t>1-711/068         1-711/151    8-414ś</t>
  </si>
  <si>
    <t>1-656/041           1-657/042                1-658/043     1-1202</t>
  </si>
  <si>
    <t>1-19613             1-19614</t>
  </si>
  <si>
    <t>1-710/164         8-507             8-508</t>
  </si>
  <si>
    <t>1-1081             8-428</t>
  </si>
  <si>
    <t>1-1024           8-405                8-406                  8-407</t>
  </si>
  <si>
    <t>1-161/274</t>
  </si>
  <si>
    <t xml:space="preserve">1-370/426    </t>
  </si>
  <si>
    <t>1-126/255</t>
  </si>
  <si>
    <t>PT1P/00000080/0</t>
  </si>
  <si>
    <t>1-1041</t>
  </si>
  <si>
    <t>8-432          8-433            8-434</t>
  </si>
  <si>
    <t>1904   1935</t>
  </si>
  <si>
    <t>Pl. Niepodległości 5</t>
  </si>
  <si>
    <t>158/2</t>
  </si>
  <si>
    <t>1900    1890</t>
  </si>
  <si>
    <t>1-22275             1-22274</t>
  </si>
  <si>
    <t xml:space="preserve">1-430/878       1-432/880ś                     1-431/879    </t>
  </si>
  <si>
    <t>PT1P/00000079/0</t>
  </si>
  <si>
    <t>Litewska 14</t>
  </si>
  <si>
    <t>1-269/313</t>
  </si>
  <si>
    <t>1-1121</t>
  </si>
  <si>
    <t>1-171/391</t>
  </si>
  <si>
    <t>PT1P/00099278/5</t>
  </si>
  <si>
    <t>1-22276    1-22277    1-22278    8-17355ś</t>
  </si>
  <si>
    <t>1-748/170    1-747/171</t>
  </si>
  <si>
    <t>ogółem pow. Oczynszowana</t>
  </si>
  <si>
    <t>1-1163 do  1-1168</t>
  </si>
  <si>
    <t>Wojska Polskiego 20/   Plac Czarnieckiego 5</t>
  </si>
  <si>
    <t xml:space="preserve">   1-322/415     1-323/450</t>
  </si>
  <si>
    <t>1-326/417      1-325/416</t>
  </si>
  <si>
    <t>Garncarska 6-8</t>
  </si>
  <si>
    <t>185/6</t>
  </si>
  <si>
    <t>10/2</t>
  </si>
  <si>
    <t>110/2, 109/2</t>
  </si>
  <si>
    <t>32/27</t>
  </si>
  <si>
    <t>185/1/3/4/5</t>
  </si>
  <si>
    <t>180/27</t>
  </si>
  <si>
    <t>180/21</t>
  </si>
  <si>
    <t>PT1P/00046820/4</t>
  </si>
  <si>
    <t>14/98</t>
  </si>
  <si>
    <t>40, 38/4, 37/2</t>
  </si>
  <si>
    <t>39/2</t>
  </si>
  <si>
    <t xml:space="preserve">PT1P/00080267/9          </t>
  </si>
  <si>
    <t xml:space="preserve">31/3, 31/4 </t>
  </si>
  <si>
    <t>137/9</t>
  </si>
  <si>
    <t>137/2</t>
  </si>
  <si>
    <t>PT1P/00094012/8</t>
  </si>
  <si>
    <t>Henryka Sienkiewicza 22</t>
  </si>
  <si>
    <t>Al.Kopernika 21</t>
  </si>
  <si>
    <t>591 udział 321,5</t>
  </si>
  <si>
    <t>PT1P/00082063/3 PT1P/00082061/9</t>
  </si>
  <si>
    <t>PT1P/00001156/1                             PT1P/00052696/0</t>
  </si>
  <si>
    <t>PT1P/00110310/6</t>
  </si>
  <si>
    <t>PT1P/00001001/0D.UW 1334/92</t>
  </si>
  <si>
    <t>PT1P/00114604/2D.UW.RG.III.7224-4/1993/92</t>
  </si>
  <si>
    <t>PT1P/00002322/3    PT1P/00000709/6  D.UW 1349/92  MAPA 1062.21-78/06</t>
  </si>
  <si>
    <t>190/1, 190/2</t>
  </si>
  <si>
    <t>PT1P/00112307/6D.UW 1408/92</t>
  </si>
  <si>
    <t>PT1P/00099085/5          PT1P/00000878/1</t>
  </si>
  <si>
    <t>GN-IV.RG.III.7224-4/7387/91/2012MJan    PT1P/00000878/1   PT1/P00101439/0</t>
  </si>
  <si>
    <t>28/1</t>
  </si>
  <si>
    <t>PT1P/00001396/5</t>
  </si>
  <si>
    <t>PT1P/00001338/1</t>
  </si>
  <si>
    <t>PT1P/00014261/4</t>
  </si>
  <si>
    <t>Narutowicza 19       /Sienkiewicza 15</t>
  </si>
  <si>
    <t>PT1P/00043904/6</t>
  </si>
  <si>
    <t xml:space="preserve">1-339/476     1-340/477      </t>
  </si>
  <si>
    <t>241/1</t>
  </si>
  <si>
    <t>Al. 3-go Maja 23</t>
  </si>
  <si>
    <t>Belzacka 10</t>
  </si>
  <si>
    <t>Broniewskiego 16a</t>
  </si>
  <si>
    <t>Broniewskiego 16</t>
  </si>
  <si>
    <t>Bugajska 17</t>
  </si>
  <si>
    <t>Częstochowska 12</t>
  </si>
  <si>
    <t>Farna 8</t>
  </si>
  <si>
    <t>Garncarska 9</t>
  </si>
  <si>
    <t>Garncarska 13</t>
  </si>
  <si>
    <t>Grodzka 3</t>
  </si>
  <si>
    <t>Jerozolimska 10</t>
  </si>
  <si>
    <t>Jerozolimska 25/27</t>
  </si>
  <si>
    <t>Jerozolimska 17</t>
  </si>
  <si>
    <t>Krzywa 10</t>
  </si>
  <si>
    <t>Kwiatowa 33A</t>
  </si>
  <si>
    <t>Kwiatowa 33</t>
  </si>
  <si>
    <t xml:space="preserve">Lelewela 26a </t>
  </si>
  <si>
    <t>Łódzka 33A/30</t>
  </si>
  <si>
    <t>Okrzei 1A</t>
  </si>
  <si>
    <t>Oddzielna 28</t>
  </si>
  <si>
    <t>Pl. Zamkowy 2</t>
  </si>
  <si>
    <t>Północna 7</t>
  </si>
  <si>
    <t>Przemysłowa 29</t>
  </si>
  <si>
    <t>Roosevelta 49</t>
  </si>
  <si>
    <t>Roosevelta 20</t>
  </si>
  <si>
    <t>Szeroka 5</t>
  </si>
  <si>
    <t>Szewska 8</t>
  </si>
  <si>
    <t>Targowa 8</t>
  </si>
  <si>
    <t>Topolowa 1G</t>
  </si>
  <si>
    <t>Topolowa 1H</t>
  </si>
  <si>
    <t xml:space="preserve">Wojska Polskiego 9     </t>
  </si>
  <si>
    <t>Wojska Polskiego 10</t>
  </si>
  <si>
    <t xml:space="preserve">Zamkowa 4                     </t>
  </si>
  <si>
    <t xml:space="preserve">Zamkowa 5   </t>
  </si>
  <si>
    <t>Zamurowa 4</t>
  </si>
  <si>
    <t>Żabia 12</t>
  </si>
  <si>
    <t>Garncarska 4</t>
  </si>
  <si>
    <t>1-321/414   1-294/445</t>
  </si>
  <si>
    <t>1-694/388   1-1111         1-1112                1-1113                1-1114              1-1115               1-1116                1-1117               1-1118                         1-1119</t>
  </si>
  <si>
    <t>PTP1P/00004023/1</t>
  </si>
  <si>
    <t>Pow. oczynsz. (14+15)</t>
  </si>
  <si>
    <t xml:space="preserve"> PT1P/00004023/1 </t>
  </si>
  <si>
    <t>1-23817      1-23818</t>
  </si>
  <si>
    <t>Rok budowy</t>
  </si>
  <si>
    <t>Wojska Polskiego 79</t>
  </si>
  <si>
    <t>1859   1868</t>
  </si>
  <si>
    <t>PS NS 28/47</t>
  </si>
  <si>
    <t xml:space="preserve">Mickiewicza 25A   Partyzantów 17          Partyzantów 17A   </t>
  </si>
  <si>
    <r>
      <rPr>
        <b/>
        <sz val="9"/>
        <rFont val="Arial CE"/>
        <charset val="238"/>
      </rPr>
      <t xml:space="preserve">Załącznik Nr 1 </t>
    </r>
    <r>
      <rPr>
        <sz val="9"/>
        <rFont val="Arial CE"/>
        <charset val="238"/>
      </rPr>
      <t>do umowy dzierżawy,        stan na 30.11.2022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</si>
</sst>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dd\ mmm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6"/>
      <name val="Arial CE"/>
      <charset val="238"/>
    </font>
    <font>
      <b/>
      <vertAlign val="superscript"/>
      <sz val="6"/>
      <name val="Arial CE"/>
      <charset val="238"/>
    </font>
    <font>
      <sz val="6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name val="Arial CE"/>
      <family val="2"/>
      <charset val="238"/>
    </font>
    <font>
      <b/>
      <sz val="10"/>
      <color theme="0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indexed="8"/>
      <name val="Arial CE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theme="0"/>
      <name val="Arial CE"/>
      <charset val="238"/>
    </font>
    <font>
      <sz val="7"/>
      <color indexed="8"/>
      <name val="Arial CE"/>
      <charset val="238"/>
    </font>
    <font>
      <sz val="7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charset val="238"/>
    </font>
    <font>
      <b/>
      <sz val="7"/>
      <color indexed="8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7"/>
      <color rgb="FFFF0000"/>
      <name val="Arial CE"/>
      <charset val="238"/>
    </font>
    <font>
      <b/>
      <u/>
      <sz val="4"/>
      <color indexed="8"/>
      <name val="Arial CE"/>
      <charset val="238"/>
    </font>
    <font>
      <b/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3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3" borderId="0" xfId="0" applyFont="1" applyFill="1"/>
    <xf numFmtId="0" fontId="11" fillId="0" borderId="0" xfId="0" applyFont="1"/>
    <xf numFmtId="0" fontId="9" fillId="0" borderId="0" xfId="0" applyFont="1" applyAlignment="1">
      <alignment horizontal="right"/>
    </xf>
    <xf numFmtId="4" fontId="12" fillId="2" borderId="0" xfId="0" applyNumberFormat="1" applyFont="1" applyFill="1" applyAlignment="1">
      <alignment vertical="center" wrapText="1"/>
    </xf>
    <xf numFmtId="4" fontId="12" fillId="2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" fontId="12" fillId="3" borderId="0" xfId="0" applyNumberFormat="1" applyFont="1" applyFill="1"/>
    <xf numFmtId="4" fontId="13" fillId="3" borderId="0" xfId="0" applyNumberFormat="1" applyFont="1" applyFill="1"/>
    <xf numFmtId="1" fontId="12" fillId="3" borderId="0" xfId="0" applyNumberFormat="1" applyFont="1" applyFill="1"/>
    <xf numFmtId="4" fontId="12" fillId="3" borderId="0" xfId="0" applyNumberFormat="1" applyFont="1" applyFill="1" applyAlignment="1">
      <alignment horizontal="right"/>
    </xf>
    <xf numFmtId="1" fontId="12" fillId="3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wrapText="1"/>
    </xf>
    <xf numFmtId="0" fontId="14" fillId="3" borderId="0" xfId="0" applyFont="1" applyFill="1"/>
    <xf numFmtId="0" fontId="16" fillId="0" borderId="6" xfId="0" applyFont="1" applyBorder="1" applyAlignment="1">
      <alignment horizontal="center" wrapText="1"/>
    </xf>
    <xf numFmtId="4" fontId="2" fillId="5" borderId="0" xfId="0" applyNumberFormat="1" applyFont="1" applyFill="1" applyAlignment="1">
      <alignment vertical="center"/>
    </xf>
    <xf numFmtId="1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16" fillId="4" borderId="4" xfId="0" applyFont="1" applyFill="1" applyBorder="1" applyAlignment="1">
      <alignment horizontal="center" wrapText="1"/>
    </xf>
    <xf numFmtId="4" fontId="1" fillId="5" borderId="0" xfId="0" applyNumberFormat="1" applyFont="1" applyFill="1" applyAlignment="1">
      <alignment vertical="center" wrapText="1"/>
    </xf>
    <xf numFmtId="1" fontId="1" fillId="5" borderId="0" xfId="0" applyNumberFormat="1" applyFont="1" applyFill="1" applyAlignment="1">
      <alignment vertical="center" wrapText="1"/>
    </xf>
    <xf numFmtId="4" fontId="1" fillId="5" borderId="0" xfId="0" applyNumberFormat="1" applyFont="1" applyFill="1" applyAlignment="1">
      <alignment horizontal="right" vertical="center" wrapText="1"/>
    </xf>
    <xf numFmtId="0" fontId="16" fillId="0" borderId="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0" fontId="16" fillId="4" borderId="6" xfId="0" applyFont="1" applyFill="1" applyBorder="1" applyAlignment="1">
      <alignment horizontal="center" wrapText="1"/>
    </xf>
    <xf numFmtId="4" fontId="15" fillId="4" borderId="0" xfId="0" applyNumberFormat="1" applyFont="1" applyFill="1"/>
    <xf numFmtId="2" fontId="16" fillId="4" borderId="0" xfId="0" applyNumberFormat="1" applyFont="1" applyFill="1" applyAlignment="1">
      <alignment wrapText="1"/>
    </xf>
    <xf numFmtId="2" fontId="16" fillId="4" borderId="4" xfId="0" applyNumberFormat="1" applyFont="1" applyFill="1" applyBorder="1" applyAlignment="1">
      <alignment horizontal="center" wrapText="1"/>
    </xf>
    <xf numFmtId="0" fontId="9" fillId="0" borderId="0" xfId="0" applyFont="1"/>
    <xf numFmtId="2" fontId="16" fillId="4" borderId="3" xfId="0" applyNumberFormat="1" applyFont="1" applyFill="1" applyBorder="1" applyAlignment="1">
      <alignment horizontal="center" wrapText="1"/>
    </xf>
    <xf numFmtId="2" fontId="16" fillId="4" borderId="3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" fontId="9" fillId="0" borderId="0" xfId="0" applyNumberFormat="1" applyFont="1"/>
    <xf numFmtId="1" fontId="13" fillId="3" borderId="0" xfId="0" applyNumberFormat="1" applyFont="1" applyFill="1" applyAlignment="1">
      <alignment horizontal="right"/>
    </xf>
    <xf numFmtId="1" fontId="4" fillId="5" borderId="0" xfId="0" applyNumberFormat="1" applyFont="1" applyFill="1" applyAlignment="1">
      <alignment vertical="center"/>
    </xf>
    <xf numFmtId="1" fontId="9" fillId="5" borderId="0" xfId="0" applyNumberFormat="1" applyFont="1" applyFill="1" applyAlignment="1">
      <alignment vertical="center" wrapText="1"/>
    </xf>
    <xf numFmtId="1" fontId="9" fillId="0" borderId="0" xfId="0" applyNumberFormat="1" applyFont="1" applyAlignment="1">
      <alignment horizontal="right"/>
    </xf>
    <xf numFmtId="1" fontId="4" fillId="5" borderId="0" xfId="0" applyNumberFormat="1" applyFont="1" applyFill="1" applyAlignment="1">
      <alignment horizontal="right" vertical="center"/>
    </xf>
    <xf numFmtId="1" fontId="9" fillId="5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/>
    </xf>
    <xf numFmtId="1" fontId="2" fillId="5" borderId="0" xfId="0" applyNumberFormat="1" applyFont="1" applyFill="1" applyAlignment="1">
      <alignment horizontal="right" vertical="center"/>
    </xf>
    <xf numFmtId="1" fontId="1" fillId="5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6" fillId="0" borderId="5" xfId="0" applyFont="1" applyBorder="1"/>
    <xf numFmtId="0" fontId="16" fillId="4" borderId="5" xfId="0" applyFont="1" applyFill="1" applyBorder="1"/>
    <xf numFmtId="0" fontId="9" fillId="0" borderId="5" xfId="0" applyFont="1" applyBorder="1" applyAlignment="1">
      <alignment horizontal="center" vertical="center"/>
    </xf>
    <xf numFmtId="0" fontId="16" fillId="4" borderId="0" xfId="0" applyFont="1" applyFill="1"/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19" fillId="4" borderId="4" xfId="0" applyFont="1" applyFill="1" applyBorder="1" applyAlignment="1">
      <alignment wrapText="1"/>
    </xf>
    <xf numFmtId="2" fontId="19" fillId="4" borderId="4" xfId="0" applyNumberFormat="1" applyFont="1" applyFill="1" applyBorder="1" applyAlignment="1">
      <alignment wrapText="1"/>
    </xf>
    <xf numFmtId="2" fontId="19" fillId="4" borderId="3" xfId="0" applyNumberFormat="1" applyFont="1" applyFill="1" applyBorder="1" applyAlignment="1">
      <alignment wrapText="1"/>
    </xf>
    <xf numFmtId="2" fontId="19" fillId="4" borderId="1" xfId="0" applyNumberFormat="1" applyFont="1" applyFill="1" applyBorder="1" applyAlignment="1">
      <alignment wrapText="1"/>
    </xf>
    <xf numFmtId="2" fontId="19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1" fontId="0" fillId="5" borderId="0" xfId="0" applyNumberFormat="1" applyFill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4" fillId="0" borderId="0" xfId="0" applyFont="1"/>
    <xf numFmtId="1" fontId="9" fillId="0" borderId="1" xfId="0" applyNumberFormat="1" applyFont="1" applyBorder="1" applyAlignment="1">
      <alignment horizontal="right" wrapText="1"/>
    </xf>
    <xf numFmtId="0" fontId="9" fillId="6" borderId="1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1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0" fillId="3" borderId="0" xfId="0" applyFill="1"/>
    <xf numFmtId="0" fontId="2" fillId="3" borderId="0" xfId="0" applyFont="1" applyFill="1"/>
    <xf numFmtId="0" fontId="0" fillId="8" borderId="0" xfId="0" applyFill="1"/>
    <xf numFmtId="0" fontId="11" fillId="3" borderId="0" xfId="0" applyFont="1" applyFill="1"/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1" fontId="9" fillId="3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2" fontId="23" fillId="6" borderId="7" xfId="0" applyNumberFormat="1" applyFont="1" applyFill="1" applyBorder="1" applyAlignment="1">
      <alignment wrapText="1"/>
    </xf>
    <xf numFmtId="2" fontId="17" fillId="6" borderId="7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 wrapText="1"/>
    </xf>
    <xf numFmtId="4" fontId="22" fillId="6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right" vertical="center" wrapText="1"/>
    </xf>
    <xf numFmtId="1" fontId="9" fillId="0" borderId="1" xfId="0" quotePrefix="1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4" fontId="9" fillId="0" borderId="1" xfId="0" quotePrefix="1" applyNumberFormat="1" applyFont="1" applyBorder="1" applyAlignment="1">
      <alignment horizontal="right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vertical="center"/>
    </xf>
    <xf numFmtId="4" fontId="25" fillId="3" borderId="0" xfId="0" applyNumberFormat="1" applyFont="1" applyFill="1"/>
    <xf numFmtId="4" fontId="25" fillId="5" borderId="0" xfId="0" applyNumberFormat="1" applyFont="1" applyFill="1" applyAlignment="1">
      <alignment vertical="center"/>
    </xf>
    <xf numFmtId="4" fontId="24" fillId="5" borderId="0" xfId="0" applyNumberFormat="1" applyFont="1" applyFill="1" applyAlignment="1">
      <alignment vertical="center" wrapText="1"/>
    </xf>
    <xf numFmtId="4" fontId="24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0" xfId="0" applyFont="1" applyBorder="1" applyAlignment="1">
      <alignment wrapText="1"/>
    </xf>
    <xf numFmtId="0" fontId="16" fillId="4" borderId="10" xfId="0" applyFont="1" applyFill="1" applyBorder="1" applyAlignment="1">
      <alignment wrapText="1"/>
    </xf>
    <xf numFmtId="1" fontId="9" fillId="0" borderId="1" xfId="0" applyNumberFormat="1" applyFont="1" applyBorder="1"/>
    <xf numFmtId="0" fontId="10" fillId="4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1" xfId="0" quotePrefix="1" applyFont="1" applyFill="1" applyBorder="1" applyAlignment="1">
      <alignment horizontal="right" vertical="center" wrapText="1"/>
    </xf>
    <xf numFmtId="0" fontId="26" fillId="0" borderId="8" xfId="0" applyFont="1" applyBorder="1" applyAlignment="1">
      <alignment horizontal="center" vertical="center"/>
    </xf>
    <xf numFmtId="4" fontId="25" fillId="3" borderId="0" xfId="0" applyNumberFormat="1" applyFont="1" applyFill="1" applyAlignment="1">
      <alignment horizontal="center"/>
    </xf>
    <xf numFmtId="1" fontId="25" fillId="5" borderId="0" xfId="0" applyNumberFormat="1" applyFont="1" applyFill="1" applyAlignment="1">
      <alignment vertical="center"/>
    </xf>
    <xf numFmtId="1" fontId="24" fillId="5" borderId="0" xfId="0" applyNumberFormat="1" applyFont="1" applyFill="1" applyAlignment="1">
      <alignment vertical="center" wrapText="1"/>
    </xf>
    <xf numFmtId="1" fontId="27" fillId="0" borderId="0" xfId="0" applyNumberFormat="1" applyFont="1"/>
    <xf numFmtId="0" fontId="28" fillId="4" borderId="4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2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0" fontId="10" fillId="0" borderId="1" xfId="0" applyFont="1" applyBorder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wrapText="1"/>
    </xf>
    <xf numFmtId="4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wrapText="1"/>
    </xf>
    <xf numFmtId="0" fontId="0" fillId="0" borderId="1" xfId="0" applyBorder="1"/>
    <xf numFmtId="1" fontId="9" fillId="0" borderId="2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4" fontId="23" fillId="6" borderId="1" xfId="0" applyNumberFormat="1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4" fontId="4" fillId="6" borderId="1" xfId="0" applyNumberFormat="1" applyFont="1" applyFill="1" applyBorder="1"/>
    <xf numFmtId="4" fontId="16" fillId="0" borderId="3" xfId="0" applyNumberFormat="1" applyFont="1" applyBorder="1" applyAlignment="1">
      <alignment wrapText="1"/>
    </xf>
    <xf numFmtId="0" fontId="16" fillId="0" borderId="4" xfId="0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9" fillId="0" borderId="1" xfId="0" applyNumberFormat="1" applyFont="1" applyBorder="1"/>
    <xf numFmtId="0" fontId="10" fillId="0" borderId="2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1" fontId="16" fillId="4" borderId="1" xfId="0" applyNumberFormat="1" applyFont="1" applyFill="1" applyBorder="1"/>
    <xf numFmtId="0" fontId="16" fillId="4" borderId="1" xfId="0" applyFont="1" applyFill="1" applyBorder="1"/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6" fillId="4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" fontId="17" fillId="6" borderId="2" xfId="0" applyNumberFormat="1" applyFont="1" applyFill="1" applyBorder="1" applyAlignment="1">
      <alignment wrapText="1"/>
    </xf>
    <xf numFmtId="4" fontId="15" fillId="4" borderId="0" xfId="0" applyNumberFormat="1" applyFont="1" applyFill="1"/>
    <xf numFmtId="0" fontId="0" fillId="0" borderId="0" xfId="0"/>
    <xf numFmtId="0" fontId="9" fillId="0" borderId="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4" fontId="20" fillId="4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" fontId="16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16" fillId="4" borderId="1" xfId="0" applyNumberFormat="1" applyFont="1" applyFill="1" applyBorder="1" applyAlignment="1">
      <alignment wrapText="1"/>
    </xf>
    <xf numFmtId="4" fontId="15" fillId="0" borderId="0" xfId="0" applyNumberFormat="1" applyFont="1"/>
    <xf numFmtId="1" fontId="9" fillId="0" borderId="2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wrapText="1"/>
    </xf>
    <xf numFmtId="1" fontId="9" fillId="0" borderId="9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right" vertical="center" wrapText="1"/>
    </xf>
    <xf numFmtId="1" fontId="9" fillId="0" borderId="9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31"/>
  <sheetViews>
    <sheetView tabSelected="1" topLeftCell="B1" zoomScaleNormal="100" workbookViewId="0">
      <selection activeCell="R11" sqref="R11"/>
    </sheetView>
  </sheetViews>
  <sheetFormatPr defaultColWidth="9.140625" defaultRowHeight="12.75" x14ac:dyDescent="0.2"/>
  <cols>
    <col min="1" max="1" width="3.42578125" style="52" customWidth="1"/>
    <col min="2" max="2" width="15.140625" style="1" customWidth="1"/>
    <col min="3" max="3" width="4.7109375" style="2" customWidth="1"/>
    <col min="4" max="4" width="4.140625" style="1" customWidth="1"/>
    <col min="5" max="5" width="9" style="1" customWidth="1"/>
    <col min="6" max="6" width="3.140625" style="1" customWidth="1"/>
    <col min="7" max="7" width="7.7109375" style="1" customWidth="1"/>
    <col min="8" max="8" width="5.5703125" style="1" customWidth="1"/>
    <col min="9" max="9" width="4.42578125" style="4" customWidth="1"/>
    <col min="10" max="10" width="6" style="79" customWidth="1"/>
    <col min="11" max="11" width="7.5703125" style="1" customWidth="1"/>
    <col min="12" max="12" width="9.42578125" style="79" customWidth="1"/>
    <col min="13" max="13" width="6.28515625" style="1" customWidth="1"/>
    <col min="14" max="14" width="3" style="3" customWidth="1"/>
    <col min="15" max="15" width="6.28515625" style="1" customWidth="1"/>
    <col min="16" max="16" width="3.28515625" style="3" customWidth="1"/>
    <col min="17" max="17" width="7.7109375" style="41" customWidth="1"/>
    <col min="18" max="18" width="8.140625" style="45" customWidth="1"/>
    <col min="19" max="19" width="5.7109375" style="41" customWidth="1"/>
    <col min="20" max="20" width="3.42578125" style="41" customWidth="1"/>
    <col min="21" max="21" width="9.85546875" style="1" customWidth="1"/>
    <col min="22" max="22" width="9.5703125" style="4" customWidth="1"/>
    <col min="23" max="23" width="15.140625" style="1" customWidth="1"/>
    <col min="24" max="16384" width="9.140625" style="1"/>
  </cols>
  <sheetData>
    <row r="1" spans="1:23" ht="14.25" customHeight="1" x14ac:dyDescent="0.2">
      <c r="U1" s="182" t="s">
        <v>747</v>
      </c>
      <c r="V1" s="182"/>
      <c r="W1" s="182"/>
    </row>
    <row r="2" spans="1:23" ht="22.5" customHeight="1" x14ac:dyDescent="0.2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69"/>
      <c r="U2" s="182"/>
      <c r="V2" s="182"/>
      <c r="W2" s="182"/>
    </row>
    <row r="3" spans="1:23" ht="15.7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4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131"/>
      <c r="W3" s="131"/>
    </row>
    <row r="4" spans="1:23" ht="15.75" customHeight="1" x14ac:dyDescent="0.2">
      <c r="A4" s="183" t="s">
        <v>1</v>
      </c>
      <c r="B4" s="183" t="s">
        <v>2</v>
      </c>
      <c r="C4" s="170" t="s">
        <v>742</v>
      </c>
      <c r="D4" s="157" t="s">
        <v>3</v>
      </c>
      <c r="E4" s="157" t="s">
        <v>4</v>
      </c>
      <c r="F4" s="157" t="s">
        <v>5</v>
      </c>
      <c r="G4" s="157" t="s">
        <v>6</v>
      </c>
      <c r="H4" s="157" t="s">
        <v>7</v>
      </c>
      <c r="I4" s="157" t="s">
        <v>8</v>
      </c>
      <c r="J4" s="157" t="s">
        <v>9</v>
      </c>
      <c r="K4" s="157" t="s">
        <v>739</v>
      </c>
      <c r="L4" s="157" t="s">
        <v>10</v>
      </c>
      <c r="M4" s="157" t="s">
        <v>11</v>
      </c>
      <c r="N4" s="158" t="s">
        <v>12</v>
      </c>
      <c r="O4" s="157" t="s">
        <v>13</v>
      </c>
      <c r="P4" s="158" t="s">
        <v>14</v>
      </c>
      <c r="Q4" s="158" t="s">
        <v>473</v>
      </c>
      <c r="R4" s="158" t="s">
        <v>374</v>
      </c>
      <c r="S4" s="158" t="s">
        <v>377</v>
      </c>
      <c r="T4" s="173" t="s">
        <v>484</v>
      </c>
      <c r="U4" s="157" t="s">
        <v>15</v>
      </c>
      <c r="V4" s="157" t="s">
        <v>16</v>
      </c>
      <c r="W4" s="184" t="s">
        <v>17</v>
      </c>
    </row>
    <row r="5" spans="1:23" ht="63.6" customHeight="1" x14ac:dyDescent="0.2">
      <c r="A5" s="183"/>
      <c r="B5" s="183"/>
      <c r="C5" s="171"/>
      <c r="D5" s="157"/>
      <c r="E5" s="172"/>
      <c r="F5" s="157"/>
      <c r="G5" s="172"/>
      <c r="H5" s="157"/>
      <c r="I5" s="157"/>
      <c r="J5" s="157"/>
      <c r="K5" s="157"/>
      <c r="L5" s="157"/>
      <c r="M5" s="157"/>
      <c r="N5" s="158"/>
      <c r="O5" s="157"/>
      <c r="P5" s="158"/>
      <c r="Q5" s="172"/>
      <c r="R5" s="172"/>
      <c r="S5" s="172"/>
      <c r="T5" s="174"/>
      <c r="U5" s="157"/>
      <c r="V5" s="157"/>
      <c r="W5" s="184"/>
    </row>
    <row r="6" spans="1:23" s="5" customFormat="1" ht="15.75" customHeight="1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11</v>
      </c>
      <c r="J6" s="59">
        <v>12</v>
      </c>
      <c r="K6" s="59">
        <v>13</v>
      </c>
      <c r="L6" s="59">
        <v>14</v>
      </c>
      <c r="M6" s="59">
        <v>15</v>
      </c>
      <c r="N6" s="58">
        <v>16</v>
      </c>
      <c r="O6" s="59">
        <v>17</v>
      </c>
      <c r="P6" s="58">
        <v>18</v>
      </c>
      <c r="Q6" s="58">
        <v>19</v>
      </c>
      <c r="R6" s="58">
        <v>20</v>
      </c>
      <c r="S6" s="58">
        <v>21</v>
      </c>
      <c r="T6" s="58">
        <v>22</v>
      </c>
      <c r="U6" s="58">
        <v>23</v>
      </c>
      <c r="V6" s="58">
        <v>24</v>
      </c>
      <c r="W6" s="58">
        <v>25</v>
      </c>
    </row>
    <row r="7" spans="1:23" s="70" customFormat="1" ht="22.9" customHeight="1" x14ac:dyDescent="0.2">
      <c r="A7" s="150">
        <v>1</v>
      </c>
      <c r="B7" s="61" t="s">
        <v>699</v>
      </c>
      <c r="C7" s="71">
        <v>1900</v>
      </c>
      <c r="D7" s="60">
        <v>1</v>
      </c>
      <c r="E7" s="97" t="s">
        <v>655</v>
      </c>
      <c r="F7" s="60"/>
      <c r="G7" s="60"/>
      <c r="H7" s="60">
        <v>16</v>
      </c>
      <c r="I7" s="98"/>
      <c r="J7" s="60"/>
      <c r="K7" s="75">
        <f>L7+M7</f>
        <v>1099.73</v>
      </c>
      <c r="L7" s="75">
        <v>961.83</v>
      </c>
      <c r="M7" s="75">
        <f>153.16+0.16+4.49-19.91</f>
        <v>137.9</v>
      </c>
      <c r="N7" s="147">
        <v>3</v>
      </c>
      <c r="O7" s="85"/>
      <c r="P7" s="90"/>
      <c r="Q7" s="84"/>
      <c r="R7" s="84" t="s">
        <v>375</v>
      </c>
      <c r="S7" s="90"/>
      <c r="T7" s="90">
        <v>21</v>
      </c>
      <c r="U7" s="98">
        <v>420</v>
      </c>
      <c r="V7" s="146">
        <v>1000</v>
      </c>
      <c r="W7" s="137" t="s">
        <v>550</v>
      </c>
    </row>
    <row r="8" spans="1:23" customFormat="1" ht="22.15" customHeight="1" x14ac:dyDescent="0.2">
      <c r="A8" s="150">
        <v>2</v>
      </c>
      <c r="B8" s="85" t="s">
        <v>700</v>
      </c>
      <c r="C8" s="71">
        <v>1930</v>
      </c>
      <c r="D8" s="60">
        <v>1</v>
      </c>
      <c r="E8" s="97" t="s">
        <v>18</v>
      </c>
      <c r="F8" s="60"/>
      <c r="G8" s="60"/>
      <c r="H8" s="60">
        <v>6</v>
      </c>
      <c r="I8" s="98"/>
      <c r="J8" s="60"/>
      <c r="K8" s="75">
        <f t="shared" ref="K8:K69" si="0">L8+M8</f>
        <v>233.69</v>
      </c>
      <c r="L8" s="75">
        <f>235.02+0.97-2.3</f>
        <v>233.69</v>
      </c>
      <c r="M8" s="75"/>
      <c r="N8" s="147"/>
      <c r="O8" s="149"/>
      <c r="P8" s="147"/>
      <c r="Q8" s="84"/>
      <c r="R8" s="80" t="s">
        <v>376</v>
      </c>
      <c r="S8" s="90"/>
      <c r="T8" s="90">
        <v>23</v>
      </c>
      <c r="U8" s="98">
        <v>211</v>
      </c>
      <c r="V8" s="146">
        <v>391</v>
      </c>
      <c r="W8" s="137" t="s">
        <v>19</v>
      </c>
    </row>
    <row r="9" spans="1:23" ht="16.149999999999999" customHeight="1" x14ac:dyDescent="0.2">
      <c r="A9" s="185">
        <v>3</v>
      </c>
      <c r="B9" s="85" t="s">
        <v>20</v>
      </c>
      <c r="C9" s="71">
        <v>1956</v>
      </c>
      <c r="D9" s="60">
        <v>1</v>
      </c>
      <c r="E9" s="97" t="s">
        <v>21</v>
      </c>
      <c r="F9" s="60"/>
      <c r="G9" s="60"/>
      <c r="H9" s="60">
        <v>5</v>
      </c>
      <c r="I9" s="98"/>
      <c r="J9" s="60"/>
      <c r="K9" s="75">
        <f t="shared" si="0"/>
        <v>233.4</v>
      </c>
      <c r="L9" s="75">
        <v>233.4</v>
      </c>
      <c r="M9" s="75"/>
      <c r="N9" s="147"/>
      <c r="O9" s="149">
        <v>25.8</v>
      </c>
      <c r="P9" s="147">
        <v>1</v>
      </c>
      <c r="Q9" s="84"/>
      <c r="R9" s="168"/>
      <c r="S9" s="162" t="s">
        <v>378</v>
      </c>
      <c r="T9" s="162">
        <v>29</v>
      </c>
      <c r="U9" s="160" t="s">
        <v>371</v>
      </c>
      <c r="V9" s="161">
        <v>5248</v>
      </c>
      <c r="W9" s="175" t="s">
        <v>551</v>
      </c>
    </row>
    <row r="10" spans="1:23" ht="15.6" customHeight="1" x14ac:dyDescent="0.2">
      <c r="A10" s="185"/>
      <c r="B10" s="85" t="s">
        <v>22</v>
      </c>
      <c r="C10" s="71">
        <v>1956</v>
      </c>
      <c r="D10" s="60">
        <v>1</v>
      </c>
      <c r="E10" s="97" t="s">
        <v>23</v>
      </c>
      <c r="F10" s="60"/>
      <c r="G10" s="60"/>
      <c r="H10" s="60">
        <v>5</v>
      </c>
      <c r="I10" s="98"/>
      <c r="J10" s="60"/>
      <c r="K10" s="75">
        <f t="shared" si="0"/>
        <v>234.23000000000002</v>
      </c>
      <c r="L10" s="75">
        <v>234.23000000000002</v>
      </c>
      <c r="M10" s="75"/>
      <c r="N10" s="147"/>
      <c r="O10" s="149">
        <v>25.8</v>
      </c>
      <c r="P10" s="147">
        <v>1</v>
      </c>
      <c r="Q10" s="84"/>
      <c r="R10" s="167"/>
      <c r="S10" s="169"/>
      <c r="T10" s="163"/>
      <c r="U10" s="160"/>
      <c r="V10" s="161"/>
      <c r="W10" s="175"/>
    </row>
    <row r="11" spans="1:23" ht="112.5" customHeight="1" x14ac:dyDescent="0.2">
      <c r="A11" s="150">
        <v>4</v>
      </c>
      <c r="B11" s="85" t="s">
        <v>25</v>
      </c>
      <c r="C11" s="71"/>
      <c r="D11" s="60"/>
      <c r="E11" s="97"/>
      <c r="F11" s="60"/>
      <c r="G11" s="60"/>
      <c r="H11" s="60"/>
      <c r="I11" s="98"/>
      <c r="J11" s="60"/>
      <c r="K11" s="75">
        <f t="shared" si="0"/>
        <v>0</v>
      </c>
      <c r="L11" s="75"/>
      <c r="M11" s="75"/>
      <c r="N11" s="147"/>
      <c r="O11" s="149">
        <v>160.4</v>
      </c>
      <c r="P11" s="147">
        <v>10</v>
      </c>
      <c r="Q11" s="84" t="s">
        <v>737</v>
      </c>
      <c r="R11" s="80"/>
      <c r="S11" s="147"/>
      <c r="T11" s="147">
        <v>20</v>
      </c>
      <c r="U11" s="97" t="s">
        <v>26</v>
      </c>
      <c r="V11" s="146">
        <v>225</v>
      </c>
      <c r="W11" s="137" t="s">
        <v>552</v>
      </c>
    </row>
    <row r="12" spans="1:23" ht="15" customHeight="1" x14ac:dyDescent="0.2">
      <c r="A12" s="150">
        <v>5</v>
      </c>
      <c r="B12" s="61" t="s">
        <v>701</v>
      </c>
      <c r="C12" s="71">
        <v>1970</v>
      </c>
      <c r="D12" s="60">
        <v>1</v>
      </c>
      <c r="E12" s="97" t="s">
        <v>27</v>
      </c>
      <c r="F12" s="60"/>
      <c r="G12" s="60"/>
      <c r="H12" s="60">
        <v>4</v>
      </c>
      <c r="I12" s="98"/>
      <c r="J12" s="60"/>
      <c r="K12" s="75">
        <f t="shared" si="0"/>
        <v>179.22</v>
      </c>
      <c r="L12" s="75">
        <v>179.22</v>
      </c>
      <c r="M12" s="75"/>
      <c r="N12" s="147"/>
      <c r="O12" s="149"/>
      <c r="P12" s="147"/>
      <c r="Q12" s="84"/>
      <c r="R12" s="80"/>
      <c r="S12" s="147"/>
      <c r="T12" s="147">
        <v>20</v>
      </c>
      <c r="U12" s="98" t="s">
        <v>28</v>
      </c>
      <c r="V12" s="146">
        <v>528</v>
      </c>
      <c r="W12" s="137" t="s">
        <v>553</v>
      </c>
    </row>
    <row r="13" spans="1:23" s="6" customFormat="1" ht="17.45" customHeight="1" x14ac:dyDescent="0.2">
      <c r="A13" s="150">
        <v>6</v>
      </c>
      <c r="B13" s="61" t="s">
        <v>702</v>
      </c>
      <c r="C13" s="71">
        <v>1972</v>
      </c>
      <c r="D13" s="60">
        <v>1</v>
      </c>
      <c r="E13" s="97" t="s">
        <v>29</v>
      </c>
      <c r="F13" s="60"/>
      <c r="G13" s="60"/>
      <c r="H13" s="60">
        <v>42</v>
      </c>
      <c r="I13" s="98"/>
      <c r="J13" s="60"/>
      <c r="K13" s="75">
        <f t="shared" si="0"/>
        <v>870.33</v>
      </c>
      <c r="L13" s="75">
        <v>870.33</v>
      </c>
      <c r="M13" s="75"/>
      <c r="N13" s="147"/>
      <c r="O13" s="149"/>
      <c r="P13" s="147"/>
      <c r="Q13" s="84"/>
      <c r="R13" s="80"/>
      <c r="S13" s="147"/>
      <c r="T13" s="147">
        <v>20</v>
      </c>
      <c r="U13" s="98" t="s">
        <v>30</v>
      </c>
      <c r="V13" s="146">
        <v>1042</v>
      </c>
      <c r="W13" s="137" t="s">
        <v>554</v>
      </c>
    </row>
    <row r="14" spans="1:23" x14ac:dyDescent="0.2">
      <c r="A14" s="150">
        <v>7</v>
      </c>
      <c r="B14" s="85" t="s">
        <v>703</v>
      </c>
      <c r="C14" s="71"/>
      <c r="D14" s="60"/>
      <c r="E14" s="97"/>
      <c r="F14" s="60"/>
      <c r="G14" s="60"/>
      <c r="H14" s="60"/>
      <c r="I14" s="98"/>
      <c r="J14" s="60"/>
      <c r="K14" s="75">
        <f t="shared" si="0"/>
        <v>0</v>
      </c>
      <c r="L14" s="77"/>
      <c r="M14" s="75"/>
      <c r="N14" s="147"/>
      <c r="O14" s="77">
        <v>126.4</v>
      </c>
      <c r="P14" s="148">
        <v>8</v>
      </c>
      <c r="Q14" s="84" t="s">
        <v>379</v>
      </c>
      <c r="R14" s="80"/>
      <c r="S14" s="148"/>
      <c r="T14" s="148">
        <v>20</v>
      </c>
      <c r="U14" s="98" t="s">
        <v>31</v>
      </c>
      <c r="V14" s="146">
        <v>387</v>
      </c>
      <c r="W14" s="137" t="s">
        <v>555</v>
      </c>
    </row>
    <row r="15" spans="1:23" ht="34.15" customHeight="1" x14ac:dyDescent="0.2">
      <c r="A15" s="150">
        <v>8</v>
      </c>
      <c r="B15" s="85" t="s">
        <v>32</v>
      </c>
      <c r="C15" s="71">
        <v>1914</v>
      </c>
      <c r="D15" s="60">
        <v>1</v>
      </c>
      <c r="E15" s="97" t="s">
        <v>33</v>
      </c>
      <c r="F15" s="60"/>
      <c r="G15" s="60"/>
      <c r="H15" s="60">
        <v>5</v>
      </c>
      <c r="I15" s="98"/>
      <c r="J15" s="60"/>
      <c r="K15" s="75">
        <f t="shared" si="0"/>
        <v>108.02000000000001</v>
      </c>
      <c r="L15" s="77">
        <v>108.02000000000001</v>
      </c>
      <c r="M15" s="75"/>
      <c r="N15" s="147"/>
      <c r="O15" s="77"/>
      <c r="P15" s="148"/>
      <c r="Q15" s="84"/>
      <c r="R15" s="84" t="s">
        <v>517</v>
      </c>
      <c r="S15" s="148"/>
      <c r="T15" s="148">
        <v>20</v>
      </c>
      <c r="U15" s="98" t="s">
        <v>34</v>
      </c>
      <c r="V15" s="146">
        <v>304</v>
      </c>
      <c r="W15" s="137" t="s">
        <v>556</v>
      </c>
    </row>
    <row r="16" spans="1:23" ht="15" customHeight="1" x14ac:dyDescent="0.2">
      <c r="A16" s="166">
        <v>9</v>
      </c>
      <c r="B16" s="149" t="s">
        <v>35</v>
      </c>
      <c r="C16" s="60">
        <v>1991</v>
      </c>
      <c r="D16" s="60">
        <v>1</v>
      </c>
      <c r="E16" s="98" t="s">
        <v>36</v>
      </c>
      <c r="F16" s="60"/>
      <c r="G16" s="60"/>
      <c r="H16" s="60">
        <v>54</v>
      </c>
      <c r="I16" s="98"/>
      <c r="J16" s="60"/>
      <c r="K16" s="75">
        <f t="shared" si="0"/>
        <v>1923.45</v>
      </c>
      <c r="L16" s="77">
        <v>1923.45</v>
      </c>
      <c r="M16" s="75"/>
      <c r="N16" s="147"/>
      <c r="O16" s="77"/>
      <c r="P16" s="148"/>
      <c r="Q16" s="84"/>
      <c r="R16" s="80"/>
      <c r="S16" s="148" t="s">
        <v>380</v>
      </c>
      <c r="T16" s="164">
        <v>13</v>
      </c>
      <c r="U16" s="167" t="s">
        <v>37</v>
      </c>
      <c r="V16" s="161">
        <v>7088</v>
      </c>
      <c r="W16" s="175" t="s">
        <v>475</v>
      </c>
    </row>
    <row r="17" spans="1:23" ht="16.899999999999999" customHeight="1" x14ac:dyDescent="0.2">
      <c r="A17" s="166"/>
      <c r="B17" s="85" t="s">
        <v>38</v>
      </c>
      <c r="C17" s="71">
        <v>1993</v>
      </c>
      <c r="D17" s="60">
        <v>1</v>
      </c>
      <c r="E17" s="97" t="s">
        <v>451</v>
      </c>
      <c r="F17" s="60"/>
      <c r="G17" s="60"/>
      <c r="H17" s="60">
        <v>22</v>
      </c>
      <c r="I17" s="98"/>
      <c r="J17" s="60"/>
      <c r="K17" s="75">
        <f t="shared" si="0"/>
        <v>775.6</v>
      </c>
      <c r="L17" s="77">
        <v>775.6</v>
      </c>
      <c r="M17" s="75"/>
      <c r="N17" s="147"/>
      <c r="O17" s="77"/>
      <c r="P17" s="148"/>
      <c r="Q17" s="84" t="s">
        <v>518</v>
      </c>
      <c r="R17" s="80"/>
      <c r="S17" s="148"/>
      <c r="T17" s="165"/>
      <c r="U17" s="167"/>
      <c r="V17" s="160"/>
      <c r="W17" s="175"/>
    </row>
    <row r="18" spans="1:23" ht="24" customHeight="1" x14ac:dyDescent="0.2">
      <c r="A18" s="154">
        <v>10</v>
      </c>
      <c r="B18" s="85" t="s">
        <v>704</v>
      </c>
      <c r="C18" s="71">
        <v>1939</v>
      </c>
      <c r="D18" s="60">
        <v>1</v>
      </c>
      <c r="E18" s="97" t="s">
        <v>39</v>
      </c>
      <c r="F18" s="60"/>
      <c r="G18" s="60"/>
      <c r="H18" s="60">
        <v>5</v>
      </c>
      <c r="I18" s="98"/>
      <c r="J18" s="60"/>
      <c r="K18" s="75">
        <f t="shared" si="0"/>
        <v>114.75000000000001</v>
      </c>
      <c r="L18" s="77">
        <v>114.75000000000001</v>
      </c>
      <c r="M18" s="75"/>
      <c r="N18" s="147"/>
      <c r="O18" s="77"/>
      <c r="P18" s="148"/>
      <c r="Q18" s="84"/>
      <c r="R18" s="84" t="s">
        <v>634</v>
      </c>
      <c r="S18" s="148"/>
      <c r="T18" s="148">
        <v>23</v>
      </c>
      <c r="U18" s="98">
        <v>372</v>
      </c>
      <c r="V18" s="146">
        <v>1141</v>
      </c>
      <c r="W18" s="137" t="s">
        <v>476</v>
      </c>
    </row>
    <row r="19" spans="1:23" ht="22.5" x14ac:dyDescent="0.2">
      <c r="A19" s="71">
        <v>11</v>
      </c>
      <c r="B19" s="85" t="s">
        <v>40</v>
      </c>
      <c r="C19" s="71"/>
      <c r="D19" s="60"/>
      <c r="E19" s="97"/>
      <c r="F19" s="60"/>
      <c r="G19" s="60"/>
      <c r="H19" s="60"/>
      <c r="I19" s="98"/>
      <c r="J19" s="60"/>
      <c r="K19" s="75">
        <f t="shared" si="0"/>
        <v>0</v>
      </c>
      <c r="L19" s="77"/>
      <c r="M19" s="75"/>
      <c r="N19" s="147"/>
      <c r="O19" s="77">
        <v>81.75</v>
      </c>
      <c r="P19" s="148">
        <v>5</v>
      </c>
      <c r="Q19" s="84"/>
      <c r="R19" s="80"/>
      <c r="S19" s="148"/>
      <c r="T19" s="148">
        <v>20</v>
      </c>
      <c r="U19" s="97" t="s">
        <v>373</v>
      </c>
      <c r="V19" s="146">
        <v>125</v>
      </c>
      <c r="W19" s="137" t="s">
        <v>557</v>
      </c>
    </row>
    <row r="20" spans="1:23" ht="22.5" x14ac:dyDescent="0.2">
      <c r="A20" s="71">
        <v>12</v>
      </c>
      <c r="B20" s="85" t="s">
        <v>705</v>
      </c>
      <c r="C20" s="71">
        <v>1900</v>
      </c>
      <c r="D20" s="71"/>
      <c r="E20" s="98"/>
      <c r="F20" s="71">
        <v>1</v>
      </c>
      <c r="G20" s="85" t="s">
        <v>471</v>
      </c>
      <c r="H20" s="71"/>
      <c r="I20" s="97"/>
      <c r="J20" s="71"/>
      <c r="K20" s="75">
        <f t="shared" si="0"/>
        <v>322.58</v>
      </c>
      <c r="L20" s="97">
        <v>0</v>
      </c>
      <c r="M20" s="71">
        <v>322.58</v>
      </c>
      <c r="N20" s="97">
        <v>2</v>
      </c>
      <c r="O20" s="71"/>
      <c r="P20" s="71"/>
      <c r="Q20" s="97"/>
      <c r="R20" s="91"/>
      <c r="S20" s="71"/>
      <c r="T20" s="102">
        <v>21</v>
      </c>
      <c r="U20" s="102" t="s">
        <v>41</v>
      </c>
      <c r="V20" s="102" t="s">
        <v>680</v>
      </c>
      <c r="W20" s="136" t="s">
        <v>558</v>
      </c>
    </row>
    <row r="21" spans="1:23" s="70" customFormat="1" ht="28.5" customHeight="1" x14ac:dyDescent="0.2">
      <c r="A21" s="71">
        <v>13</v>
      </c>
      <c r="B21" s="85" t="s">
        <v>735</v>
      </c>
      <c r="C21" s="71">
        <v>2020</v>
      </c>
      <c r="D21" s="71">
        <v>1</v>
      </c>
      <c r="E21" s="97" t="s">
        <v>736</v>
      </c>
      <c r="F21" s="71"/>
      <c r="G21" s="85"/>
      <c r="H21" s="71">
        <v>9</v>
      </c>
      <c r="I21" s="97"/>
      <c r="J21" s="71"/>
      <c r="K21" s="75">
        <v>423.74</v>
      </c>
      <c r="L21" s="97">
        <v>423.74</v>
      </c>
      <c r="M21" s="71"/>
      <c r="N21" s="97"/>
      <c r="O21" s="71"/>
      <c r="P21" s="71"/>
      <c r="Q21" s="97"/>
      <c r="R21" s="91"/>
      <c r="S21" s="71"/>
      <c r="T21" s="102">
        <v>21</v>
      </c>
      <c r="U21" s="102">
        <v>184</v>
      </c>
      <c r="V21" s="102">
        <v>400</v>
      </c>
      <c r="W21" s="136" t="s">
        <v>738</v>
      </c>
    </row>
    <row r="22" spans="1:23" s="70" customFormat="1" ht="28.5" customHeight="1" x14ac:dyDescent="0.2">
      <c r="A22" s="71">
        <v>14</v>
      </c>
      <c r="B22" s="85" t="s">
        <v>661</v>
      </c>
      <c r="C22" s="71">
        <v>2018</v>
      </c>
      <c r="D22" s="60">
        <v>2</v>
      </c>
      <c r="E22" s="97" t="s">
        <v>741</v>
      </c>
      <c r="F22" s="71"/>
      <c r="G22" s="85"/>
      <c r="H22" s="71">
        <v>15</v>
      </c>
      <c r="I22" s="97"/>
      <c r="J22" s="71"/>
      <c r="K22" s="75">
        <v>792.71</v>
      </c>
      <c r="L22" s="77">
        <f>480.47+312.24</f>
        <v>792.71</v>
      </c>
      <c r="M22" s="71"/>
      <c r="N22" s="97"/>
      <c r="O22" s="71"/>
      <c r="P22" s="71"/>
      <c r="Q22" s="97"/>
      <c r="R22" s="91"/>
      <c r="S22" s="71"/>
      <c r="T22" s="102"/>
      <c r="U22" s="98" t="s">
        <v>662</v>
      </c>
      <c r="V22" s="102">
        <f>1541-553</f>
        <v>988</v>
      </c>
      <c r="W22" s="136" t="s">
        <v>592</v>
      </c>
    </row>
    <row r="23" spans="1:23" ht="33.75" x14ac:dyDescent="0.2">
      <c r="A23" s="71">
        <v>15</v>
      </c>
      <c r="B23" s="85" t="s">
        <v>706</v>
      </c>
      <c r="C23" s="71" t="s">
        <v>42</v>
      </c>
      <c r="D23" s="60">
        <v>2</v>
      </c>
      <c r="E23" s="97" t="s">
        <v>659</v>
      </c>
      <c r="F23" s="60"/>
      <c r="G23" s="60"/>
      <c r="H23" s="60">
        <v>9</v>
      </c>
      <c r="I23" s="98">
        <v>3</v>
      </c>
      <c r="J23" s="60">
        <v>105.64</v>
      </c>
      <c r="K23" s="75">
        <f t="shared" si="0"/>
        <v>340.24</v>
      </c>
      <c r="L23" s="77">
        <f>345.67-1.66-1.81-1.14-0.82</f>
        <v>340.24</v>
      </c>
      <c r="M23" s="75"/>
      <c r="N23" s="147"/>
      <c r="O23" s="77"/>
      <c r="P23" s="148"/>
      <c r="Q23" s="84"/>
      <c r="R23" s="80" t="s">
        <v>381</v>
      </c>
      <c r="S23" s="148"/>
      <c r="T23" s="148">
        <v>21</v>
      </c>
      <c r="U23" s="98">
        <v>233</v>
      </c>
      <c r="V23" s="146">
        <v>834</v>
      </c>
      <c r="W23" s="137"/>
    </row>
    <row r="24" spans="1:23" ht="22.9" customHeight="1" x14ac:dyDescent="0.2">
      <c r="A24" s="71">
        <v>16</v>
      </c>
      <c r="B24" s="85" t="s">
        <v>707</v>
      </c>
      <c r="C24" s="73" t="s">
        <v>43</v>
      </c>
      <c r="D24" s="60">
        <v>2</v>
      </c>
      <c r="E24" s="97" t="s">
        <v>660</v>
      </c>
      <c r="F24" s="60"/>
      <c r="G24" s="60"/>
      <c r="H24" s="60">
        <f>18-1</f>
        <v>17</v>
      </c>
      <c r="I24" s="98">
        <f>1+1</f>
        <v>2</v>
      </c>
      <c r="J24" s="60">
        <f>47.61+21.58</f>
        <v>69.19</v>
      </c>
      <c r="K24" s="75">
        <f t="shared" si="0"/>
        <v>1089.72</v>
      </c>
      <c r="L24" s="77">
        <f>1108.8+1.99-21.58+2.83-2.32</f>
        <v>1089.72</v>
      </c>
      <c r="M24" s="75"/>
      <c r="N24" s="147"/>
      <c r="O24" s="77"/>
      <c r="P24" s="148"/>
      <c r="Q24" s="84"/>
      <c r="R24" s="80" t="s">
        <v>382</v>
      </c>
      <c r="S24" s="148"/>
      <c r="T24" s="148">
        <v>21</v>
      </c>
      <c r="U24" s="98">
        <v>235</v>
      </c>
      <c r="V24" s="146">
        <v>1079</v>
      </c>
      <c r="W24" s="137" t="s">
        <v>477</v>
      </c>
    </row>
    <row r="25" spans="1:23" s="79" customFormat="1" ht="33.75" x14ac:dyDescent="0.2">
      <c r="A25" s="71">
        <v>17</v>
      </c>
      <c r="B25" s="85" t="s">
        <v>708</v>
      </c>
      <c r="C25" s="71">
        <v>1890</v>
      </c>
      <c r="D25" s="60">
        <v>3</v>
      </c>
      <c r="E25" s="97" t="s">
        <v>383</v>
      </c>
      <c r="F25" s="60"/>
      <c r="G25" s="60"/>
      <c r="H25" s="60">
        <f>18-1-1-5-1-1-1-1-3-1</f>
        <v>3</v>
      </c>
      <c r="I25" s="98">
        <f>10+1+5+1+1+1+1+1+3+1</f>
        <v>25</v>
      </c>
      <c r="J25" s="60">
        <f>349.45+25.38+23.65+48.2+233.56+24.77+30.62+21.07+32.84+84.48+35.05</f>
        <v>909.07</v>
      </c>
      <c r="K25" s="75">
        <f t="shared" si="0"/>
        <v>109.29000000000009</v>
      </c>
      <c r="L25" s="75">
        <f>669.47-0.56-25.38-23.65-48.2-233.56-24.77-30.62-21.07-32.84-84.48-35.05</f>
        <v>109.29000000000009</v>
      </c>
      <c r="M25" s="75"/>
      <c r="N25" s="147"/>
      <c r="O25" s="77"/>
      <c r="P25" s="148"/>
      <c r="Q25" s="84"/>
      <c r="R25" s="84" t="s">
        <v>384</v>
      </c>
      <c r="S25" s="148"/>
      <c r="T25" s="148">
        <v>21</v>
      </c>
      <c r="U25" s="98">
        <v>179</v>
      </c>
      <c r="V25" s="146">
        <v>634</v>
      </c>
      <c r="W25" s="137" t="s">
        <v>485</v>
      </c>
    </row>
    <row r="26" spans="1:23" customFormat="1" ht="16.149999999999999" customHeight="1" x14ac:dyDescent="0.2">
      <c r="A26" s="71">
        <v>18</v>
      </c>
      <c r="B26" s="85" t="s">
        <v>44</v>
      </c>
      <c r="C26" s="71">
        <v>1985</v>
      </c>
      <c r="D26" s="60">
        <v>1</v>
      </c>
      <c r="E26" s="97" t="s">
        <v>45</v>
      </c>
      <c r="F26" s="60"/>
      <c r="G26" s="60"/>
      <c r="H26" s="60">
        <v>72</v>
      </c>
      <c r="I26" s="98"/>
      <c r="J26" s="60"/>
      <c r="K26" s="75">
        <f t="shared" si="0"/>
        <v>2816.48</v>
      </c>
      <c r="L26" s="75">
        <v>2816.48</v>
      </c>
      <c r="M26" s="75"/>
      <c r="N26" s="147"/>
      <c r="O26" s="77"/>
      <c r="P26" s="148"/>
      <c r="Q26" s="84"/>
      <c r="R26" s="80" t="s">
        <v>546</v>
      </c>
      <c r="S26" s="148"/>
      <c r="T26" s="148">
        <v>30</v>
      </c>
      <c r="U26" s="98" t="s">
        <v>46</v>
      </c>
      <c r="V26" s="146">
        <v>3343</v>
      </c>
      <c r="W26" s="137" t="s">
        <v>559</v>
      </c>
    </row>
    <row r="27" spans="1:23" customFormat="1" ht="18" customHeight="1" x14ac:dyDescent="0.2">
      <c r="A27" s="71">
        <v>19</v>
      </c>
      <c r="B27" s="85" t="s">
        <v>709</v>
      </c>
      <c r="C27" s="71">
        <v>1910</v>
      </c>
      <c r="D27" s="60">
        <v>1</v>
      </c>
      <c r="E27" s="97" t="s">
        <v>47</v>
      </c>
      <c r="F27" s="60"/>
      <c r="G27" s="60"/>
      <c r="H27" s="60">
        <v>8</v>
      </c>
      <c r="I27" s="98"/>
      <c r="J27" s="60"/>
      <c r="K27" s="75">
        <f t="shared" si="0"/>
        <v>416.74999999999994</v>
      </c>
      <c r="L27" s="75">
        <f>349.77-1.47-1.55</f>
        <v>346.74999999999994</v>
      </c>
      <c r="M27" s="75">
        <v>70</v>
      </c>
      <c r="N27" s="147">
        <v>2</v>
      </c>
      <c r="O27" s="77"/>
      <c r="P27" s="148"/>
      <c r="Q27" s="84"/>
      <c r="R27" s="80" t="s">
        <v>385</v>
      </c>
      <c r="S27" s="148"/>
      <c r="T27" s="148">
        <v>21</v>
      </c>
      <c r="U27" s="98">
        <v>249</v>
      </c>
      <c r="V27" s="146">
        <v>462</v>
      </c>
      <c r="W27" s="137" t="s">
        <v>495</v>
      </c>
    </row>
    <row r="28" spans="1:23" s="79" customFormat="1" ht="32.25" customHeight="1" x14ac:dyDescent="0.2">
      <c r="A28" s="71">
        <v>20</v>
      </c>
      <c r="B28" s="85" t="s">
        <v>711</v>
      </c>
      <c r="C28" s="71">
        <v>1900</v>
      </c>
      <c r="D28" s="60">
        <v>1</v>
      </c>
      <c r="E28" s="97" t="s">
        <v>697</v>
      </c>
      <c r="F28" s="60">
        <v>1</v>
      </c>
      <c r="G28" s="60" t="s">
        <v>48</v>
      </c>
      <c r="H28" s="60">
        <v>10</v>
      </c>
      <c r="I28" s="98"/>
      <c r="J28" s="76"/>
      <c r="K28" s="75">
        <f t="shared" si="0"/>
        <v>744.45</v>
      </c>
      <c r="L28" s="75">
        <f>598.92-2.11+1.25-1.55-1.25</f>
        <v>595.26</v>
      </c>
      <c r="M28" s="75">
        <v>149.19</v>
      </c>
      <c r="N28" s="147">
        <v>1</v>
      </c>
      <c r="O28" s="77"/>
      <c r="P28" s="148"/>
      <c r="Q28" s="84"/>
      <c r="R28" s="80"/>
      <c r="S28" s="148"/>
      <c r="T28" s="148">
        <v>21</v>
      </c>
      <c r="U28" s="98">
        <v>207</v>
      </c>
      <c r="V28" s="146">
        <v>1167</v>
      </c>
      <c r="W28" s="137" t="s">
        <v>496</v>
      </c>
    </row>
    <row r="29" spans="1:23" ht="24" customHeight="1" x14ac:dyDescent="0.2">
      <c r="A29" s="71">
        <v>21</v>
      </c>
      <c r="B29" s="85" t="s">
        <v>710</v>
      </c>
      <c r="C29" s="71"/>
      <c r="D29" s="60"/>
      <c r="E29" s="97"/>
      <c r="F29" s="60"/>
      <c r="G29" s="60"/>
      <c r="H29" s="60"/>
      <c r="I29" s="98"/>
      <c r="J29" s="60"/>
      <c r="K29" s="75">
        <f t="shared" si="0"/>
        <v>0</v>
      </c>
      <c r="L29" s="75"/>
      <c r="M29" s="75"/>
      <c r="N29" s="147"/>
      <c r="O29" s="77">
        <v>181.24</v>
      </c>
      <c r="P29" s="148">
        <v>9</v>
      </c>
      <c r="Q29" s="84"/>
      <c r="R29" s="80" t="s">
        <v>453</v>
      </c>
      <c r="S29" s="148"/>
      <c r="T29" s="148">
        <v>21</v>
      </c>
      <c r="U29" s="98" t="s">
        <v>49</v>
      </c>
      <c r="V29" s="146">
        <v>279</v>
      </c>
      <c r="W29" s="137" t="s">
        <v>560</v>
      </c>
    </row>
    <row r="30" spans="1:23" customFormat="1" ht="35.450000000000003" customHeight="1" x14ac:dyDescent="0.2">
      <c r="A30" s="71">
        <v>22</v>
      </c>
      <c r="B30" s="85" t="s">
        <v>50</v>
      </c>
      <c r="C30" s="71">
        <v>1900</v>
      </c>
      <c r="D30" s="60">
        <v>1</v>
      </c>
      <c r="E30" s="97" t="s">
        <v>51</v>
      </c>
      <c r="F30" s="60"/>
      <c r="G30" s="60"/>
      <c r="H30" s="60">
        <f>8-1</f>
        <v>7</v>
      </c>
      <c r="I30" s="98">
        <f>1</f>
        <v>1</v>
      </c>
      <c r="J30" s="60">
        <f>36.1+41.1-32.34</f>
        <v>44.86</v>
      </c>
      <c r="K30" s="75">
        <f t="shared" si="0"/>
        <v>240.66</v>
      </c>
      <c r="L30" s="75">
        <f>250.95-1.53-41.1+32.34</f>
        <v>240.66</v>
      </c>
      <c r="M30" s="75"/>
      <c r="N30" s="147"/>
      <c r="O30" s="77"/>
      <c r="P30" s="148"/>
      <c r="Q30" s="84"/>
      <c r="R30" s="80" t="s">
        <v>520</v>
      </c>
      <c r="S30" s="148"/>
      <c r="T30" s="148">
        <v>21</v>
      </c>
      <c r="U30" s="98" t="s">
        <v>52</v>
      </c>
      <c r="V30" s="146">
        <v>577</v>
      </c>
      <c r="W30" s="137" t="s">
        <v>561</v>
      </c>
    </row>
    <row r="31" spans="1:23" customFormat="1" ht="25.9" customHeight="1" x14ac:dyDescent="0.2">
      <c r="A31" s="71">
        <v>23</v>
      </c>
      <c r="B31" s="85" t="s">
        <v>53</v>
      </c>
      <c r="C31" s="71">
        <v>1859</v>
      </c>
      <c r="D31" s="60">
        <v>1</v>
      </c>
      <c r="E31" s="97" t="s">
        <v>54</v>
      </c>
      <c r="F31" s="60"/>
      <c r="G31" s="60"/>
      <c r="H31" s="60">
        <f>7-1-1</f>
        <v>5</v>
      </c>
      <c r="I31" s="98">
        <f>1+1</f>
        <v>2</v>
      </c>
      <c r="J31" s="60">
        <f>37.01+30.63</f>
        <v>67.64</v>
      </c>
      <c r="K31" s="75">
        <f t="shared" si="0"/>
        <v>153.69000000000003</v>
      </c>
      <c r="L31" s="75">
        <f>221.33-37.01-30.63</f>
        <v>153.69000000000003</v>
      </c>
      <c r="M31" s="75"/>
      <c r="N31" s="147"/>
      <c r="O31" s="77"/>
      <c r="P31" s="148"/>
      <c r="Q31" s="84"/>
      <c r="R31" s="80" t="s">
        <v>474</v>
      </c>
      <c r="S31" s="148"/>
      <c r="T31" s="148">
        <v>15</v>
      </c>
      <c r="U31" s="98">
        <v>607</v>
      </c>
      <c r="V31" s="146">
        <v>567</v>
      </c>
      <c r="W31" s="137" t="s">
        <v>494</v>
      </c>
    </row>
    <row r="32" spans="1:23" s="70" customFormat="1" ht="21.75" customHeight="1" x14ac:dyDescent="0.2">
      <c r="A32" s="71">
        <v>24</v>
      </c>
      <c r="B32" s="85" t="s">
        <v>55</v>
      </c>
      <c r="C32" s="71">
        <v>1868</v>
      </c>
      <c r="D32" s="60">
        <v>1</v>
      </c>
      <c r="E32" s="97" t="s">
        <v>56</v>
      </c>
      <c r="F32" s="60"/>
      <c r="G32" s="60"/>
      <c r="H32" s="60">
        <v>13</v>
      </c>
      <c r="I32" s="98"/>
      <c r="J32" s="60"/>
      <c r="K32" s="75">
        <f t="shared" si="0"/>
        <v>393.05</v>
      </c>
      <c r="L32" s="75">
        <f>391.68+1.73+0.51-1.32+0.21+0.24</f>
        <v>393.05</v>
      </c>
      <c r="M32" s="75"/>
      <c r="N32" s="147"/>
      <c r="O32" s="77"/>
      <c r="P32" s="148"/>
      <c r="Q32" s="84"/>
      <c r="R32" s="84" t="s">
        <v>386</v>
      </c>
      <c r="S32" s="148"/>
      <c r="T32" s="148">
        <v>21</v>
      </c>
      <c r="U32" s="98">
        <v>178</v>
      </c>
      <c r="V32" s="146">
        <v>335</v>
      </c>
      <c r="W32" s="137" t="s">
        <v>478</v>
      </c>
    </row>
    <row r="33" spans="1:23" s="70" customFormat="1" ht="43.9" customHeight="1" x14ac:dyDescent="0.2">
      <c r="A33" s="71">
        <v>25</v>
      </c>
      <c r="B33" s="85" t="s">
        <v>57</v>
      </c>
      <c r="C33" s="71">
        <v>1904</v>
      </c>
      <c r="D33" s="60">
        <v>1</v>
      </c>
      <c r="E33" s="97" t="s">
        <v>58</v>
      </c>
      <c r="F33" s="60"/>
      <c r="G33" s="60"/>
      <c r="H33" s="60">
        <v>5</v>
      </c>
      <c r="I33" s="98"/>
      <c r="J33" s="60"/>
      <c r="K33" s="75">
        <f t="shared" si="0"/>
        <v>273.77</v>
      </c>
      <c r="L33" s="75">
        <f>271+2.77</f>
        <v>273.77</v>
      </c>
      <c r="M33" s="75"/>
      <c r="N33" s="147"/>
      <c r="O33" s="77">
        <v>18</v>
      </c>
      <c r="P33" s="148">
        <v>1</v>
      </c>
      <c r="Q33" s="84" t="s">
        <v>635</v>
      </c>
      <c r="R33" s="80"/>
      <c r="S33" s="148" t="s">
        <v>387</v>
      </c>
      <c r="T33" s="148">
        <v>21</v>
      </c>
      <c r="U33" s="98" t="s">
        <v>59</v>
      </c>
      <c r="V33" s="146">
        <v>1961</v>
      </c>
      <c r="W33" s="137" t="s">
        <v>562</v>
      </c>
    </row>
    <row r="34" spans="1:23" s="70" customFormat="1" ht="45.6" customHeight="1" x14ac:dyDescent="0.2">
      <c r="A34" s="71">
        <v>26</v>
      </c>
      <c r="B34" s="149" t="s">
        <v>712</v>
      </c>
      <c r="C34" s="60">
        <v>1900</v>
      </c>
      <c r="D34" s="60">
        <v>1</v>
      </c>
      <c r="E34" s="98" t="s">
        <v>60</v>
      </c>
      <c r="F34" s="60"/>
      <c r="G34" s="60"/>
      <c r="H34" s="154">
        <f>8-2</f>
        <v>6</v>
      </c>
      <c r="I34" s="148">
        <v>2</v>
      </c>
      <c r="J34" s="76">
        <f>11.27+22.55</f>
        <v>33.82</v>
      </c>
      <c r="K34" s="75">
        <f t="shared" si="0"/>
        <v>169.39999999999998</v>
      </c>
      <c r="L34" s="75">
        <f>203.22-11.27-22.55</f>
        <v>169.39999999999998</v>
      </c>
      <c r="M34" s="75"/>
      <c r="N34" s="154"/>
      <c r="O34" s="122"/>
      <c r="P34" s="123"/>
      <c r="Q34" s="119"/>
      <c r="R34" s="124" t="s">
        <v>521</v>
      </c>
      <c r="S34" s="123"/>
      <c r="T34" s="103">
        <v>15</v>
      </c>
      <c r="U34" s="98">
        <v>626.62699999999995</v>
      </c>
      <c r="V34" s="104">
        <v>1117</v>
      </c>
      <c r="W34" s="137" t="s">
        <v>479</v>
      </c>
    </row>
    <row r="35" spans="1:23" ht="15.6" customHeight="1" x14ac:dyDescent="0.2">
      <c r="A35" s="159">
        <v>27</v>
      </c>
      <c r="B35" s="85" t="s">
        <v>714</v>
      </c>
      <c r="C35" s="71">
        <v>1970</v>
      </c>
      <c r="D35" s="60">
        <v>1</v>
      </c>
      <c r="E35" s="97" t="s">
        <v>61</v>
      </c>
      <c r="F35" s="60"/>
      <c r="G35" s="60"/>
      <c r="H35" s="60">
        <v>10</v>
      </c>
      <c r="I35" s="98"/>
      <c r="J35" s="60"/>
      <c r="K35" s="75">
        <f t="shared" si="0"/>
        <v>388.86</v>
      </c>
      <c r="L35" s="75">
        <v>388.86</v>
      </c>
      <c r="M35" s="75"/>
      <c r="N35" s="147"/>
      <c r="O35" s="77"/>
      <c r="P35" s="148"/>
      <c r="Q35" s="84"/>
      <c r="R35" s="80" t="s">
        <v>388</v>
      </c>
      <c r="S35" s="148"/>
      <c r="T35" s="164">
        <v>15</v>
      </c>
      <c r="U35" s="167" t="s">
        <v>389</v>
      </c>
      <c r="V35" s="161">
        <v>2374</v>
      </c>
      <c r="W35" s="175" t="s">
        <v>497</v>
      </c>
    </row>
    <row r="36" spans="1:23" s="70" customFormat="1" ht="24.75" customHeight="1" x14ac:dyDescent="0.2">
      <c r="A36" s="159"/>
      <c r="B36" s="85" t="s">
        <v>713</v>
      </c>
      <c r="C36" s="71">
        <v>1970</v>
      </c>
      <c r="D36" s="60">
        <v>1</v>
      </c>
      <c r="E36" s="97" t="s">
        <v>62</v>
      </c>
      <c r="F36" s="60"/>
      <c r="G36" s="60"/>
      <c r="H36" s="60">
        <v>9</v>
      </c>
      <c r="I36" s="98"/>
      <c r="J36" s="60"/>
      <c r="K36" s="75">
        <f t="shared" si="0"/>
        <v>222.9</v>
      </c>
      <c r="L36" s="75">
        <f>223.48+0.82-0.98-0.42</f>
        <v>222.9</v>
      </c>
      <c r="M36" s="75"/>
      <c r="N36" s="147"/>
      <c r="O36" s="77"/>
      <c r="P36" s="148"/>
      <c r="Q36" s="84"/>
      <c r="R36" s="80"/>
      <c r="S36" s="148"/>
      <c r="T36" s="165"/>
      <c r="U36" s="167"/>
      <c r="V36" s="161"/>
      <c r="W36" s="175"/>
    </row>
    <row r="37" spans="1:23" ht="15.6" customHeight="1" x14ac:dyDescent="0.2">
      <c r="A37" s="71">
        <v>28</v>
      </c>
      <c r="B37" s="85" t="s">
        <v>715</v>
      </c>
      <c r="C37" s="71">
        <v>1964</v>
      </c>
      <c r="D37" s="60"/>
      <c r="E37" s="97" t="s">
        <v>63</v>
      </c>
      <c r="F37" s="60"/>
      <c r="G37" s="60"/>
      <c r="H37" s="60">
        <v>1</v>
      </c>
      <c r="I37" s="98"/>
      <c r="J37" s="60"/>
      <c r="K37" s="75">
        <f t="shared" si="0"/>
        <v>34</v>
      </c>
      <c r="L37" s="75">
        <v>34</v>
      </c>
      <c r="M37" s="75"/>
      <c r="N37" s="147"/>
      <c r="O37" s="77"/>
      <c r="P37" s="148"/>
      <c r="Q37" s="84"/>
      <c r="R37" s="80"/>
      <c r="S37" s="148"/>
      <c r="T37" s="148">
        <v>15</v>
      </c>
      <c r="U37" s="98">
        <v>252</v>
      </c>
      <c r="V37" s="146">
        <v>88</v>
      </c>
      <c r="W37" s="137" t="s">
        <v>563</v>
      </c>
    </row>
    <row r="38" spans="1:23" customFormat="1" ht="20.45" customHeight="1" x14ac:dyDescent="0.2">
      <c r="A38" s="71">
        <v>29</v>
      </c>
      <c r="B38" s="85" t="s">
        <v>649</v>
      </c>
      <c r="C38" s="71">
        <v>1869</v>
      </c>
      <c r="D38" s="60">
        <v>1</v>
      </c>
      <c r="E38" s="97" t="s">
        <v>650</v>
      </c>
      <c r="F38" s="60"/>
      <c r="G38" s="60"/>
      <c r="H38" s="60">
        <f>7-1</f>
        <v>6</v>
      </c>
      <c r="I38" s="98">
        <f>1+1</f>
        <v>2</v>
      </c>
      <c r="J38" s="60">
        <f>31.5+15.92</f>
        <v>47.42</v>
      </c>
      <c r="K38" s="75">
        <f t="shared" si="0"/>
        <v>230.26000000000002</v>
      </c>
      <c r="L38" s="75">
        <f>244.16+2.02-15.92</f>
        <v>230.26000000000002</v>
      </c>
      <c r="M38" s="75"/>
      <c r="N38" s="147"/>
      <c r="O38" s="77">
        <v>18</v>
      </c>
      <c r="P38" s="148">
        <v>1</v>
      </c>
      <c r="Q38" s="84" t="s">
        <v>651</v>
      </c>
      <c r="R38" s="80" t="s">
        <v>652</v>
      </c>
      <c r="S38" s="148"/>
      <c r="T38" s="148">
        <v>21</v>
      </c>
      <c r="U38" s="98">
        <v>30</v>
      </c>
      <c r="V38" s="146">
        <v>435</v>
      </c>
      <c r="W38" s="137" t="s">
        <v>653</v>
      </c>
    </row>
    <row r="39" spans="1:23" ht="55.5" customHeight="1" x14ac:dyDescent="0.2">
      <c r="A39" s="71">
        <v>30</v>
      </c>
      <c r="B39" s="85" t="s">
        <v>64</v>
      </c>
      <c r="C39" s="71">
        <v>1900</v>
      </c>
      <c r="D39" s="60">
        <v>1</v>
      </c>
      <c r="E39" s="97" t="s">
        <v>65</v>
      </c>
      <c r="F39" s="60"/>
      <c r="G39" s="60"/>
      <c r="H39" s="60">
        <v>8</v>
      </c>
      <c r="I39" s="98">
        <v>1</v>
      </c>
      <c r="J39" s="60">
        <v>14.16</v>
      </c>
      <c r="K39" s="75">
        <f t="shared" si="0"/>
        <v>322.55</v>
      </c>
      <c r="L39" s="75">
        <f>327.55-3.58-1.42</f>
        <v>322.55</v>
      </c>
      <c r="M39" s="75"/>
      <c r="N39" s="147"/>
      <c r="O39" s="77"/>
      <c r="P39" s="148"/>
      <c r="Q39" s="84"/>
      <c r="R39" s="80"/>
      <c r="S39" s="148"/>
      <c r="T39" s="148">
        <v>21</v>
      </c>
      <c r="U39" s="98">
        <v>170</v>
      </c>
      <c r="V39" s="146">
        <v>348</v>
      </c>
      <c r="W39" s="137" t="s">
        <v>564</v>
      </c>
    </row>
    <row r="40" spans="1:23" ht="23.45" customHeight="1" x14ac:dyDescent="0.2">
      <c r="A40" s="159">
        <v>31</v>
      </c>
      <c r="B40" s="85" t="s">
        <v>66</v>
      </c>
      <c r="C40" s="71">
        <v>1892</v>
      </c>
      <c r="D40" s="60">
        <v>1</v>
      </c>
      <c r="E40" s="97" t="s">
        <v>67</v>
      </c>
      <c r="F40" s="60"/>
      <c r="G40" s="60"/>
      <c r="H40" s="60">
        <v>8</v>
      </c>
      <c r="I40" s="98">
        <v>3</v>
      </c>
      <c r="J40" s="60">
        <f>7.88+20.59+20.21</f>
        <v>48.68</v>
      </c>
      <c r="K40" s="75">
        <f t="shared" si="0"/>
        <v>201.98</v>
      </c>
      <c r="L40" s="75">
        <f>244.28+0.57-20.59-20.21-2.07</f>
        <v>201.98</v>
      </c>
      <c r="M40" s="75"/>
      <c r="N40" s="147"/>
      <c r="O40" s="77"/>
      <c r="P40" s="148"/>
      <c r="Q40" s="84"/>
      <c r="R40" s="80" t="s">
        <v>522</v>
      </c>
      <c r="S40" s="148"/>
      <c r="T40" s="164">
        <v>14</v>
      </c>
      <c r="U40" s="160">
        <v>603</v>
      </c>
      <c r="V40" s="161">
        <v>1228</v>
      </c>
      <c r="W40" s="175" t="s">
        <v>480</v>
      </c>
    </row>
    <row r="41" spans="1:23" s="70" customFormat="1" ht="34.15" customHeight="1" x14ac:dyDescent="0.2">
      <c r="A41" s="159"/>
      <c r="B41" s="85" t="s">
        <v>68</v>
      </c>
      <c r="C41" s="71">
        <v>1892</v>
      </c>
      <c r="D41" s="60">
        <v>1</v>
      </c>
      <c r="E41" s="97" t="s">
        <v>69</v>
      </c>
      <c r="F41" s="60"/>
      <c r="G41" s="60"/>
      <c r="H41" s="60">
        <f>9+1</f>
        <v>10</v>
      </c>
      <c r="I41" s="98">
        <f>1-1</f>
        <v>0</v>
      </c>
      <c r="J41" s="60"/>
      <c r="K41" s="75">
        <f t="shared" si="0"/>
        <v>263.53000000000003</v>
      </c>
      <c r="L41" s="75">
        <f>264.67-0.25-17.74+17.74-0.89</f>
        <v>263.53000000000003</v>
      </c>
      <c r="M41" s="75"/>
      <c r="N41" s="147"/>
      <c r="O41" s="77"/>
      <c r="P41" s="148"/>
      <c r="Q41" s="84"/>
      <c r="R41" s="80" t="s">
        <v>523</v>
      </c>
      <c r="S41" s="148"/>
      <c r="T41" s="165"/>
      <c r="U41" s="160"/>
      <c r="V41" s="160"/>
      <c r="W41" s="175"/>
    </row>
    <row r="42" spans="1:23" s="70" customFormat="1" ht="33.75" x14ac:dyDescent="0.2">
      <c r="A42" s="71">
        <v>32</v>
      </c>
      <c r="B42" s="85" t="s">
        <v>70</v>
      </c>
      <c r="C42" s="71">
        <v>1909</v>
      </c>
      <c r="D42" s="60">
        <v>1</v>
      </c>
      <c r="E42" s="97" t="s">
        <v>71</v>
      </c>
      <c r="F42" s="60"/>
      <c r="G42" s="60"/>
      <c r="H42" s="60">
        <v>8</v>
      </c>
      <c r="I42" s="98"/>
      <c r="J42" s="60"/>
      <c r="K42" s="75">
        <f t="shared" si="0"/>
        <v>331.97</v>
      </c>
      <c r="L42" s="75">
        <f>334.18-2.21</f>
        <v>331.97</v>
      </c>
      <c r="M42" s="75"/>
      <c r="N42" s="147"/>
      <c r="O42" s="77"/>
      <c r="P42" s="148"/>
      <c r="Q42" s="84"/>
      <c r="R42" s="80" t="s">
        <v>524</v>
      </c>
      <c r="S42" s="148"/>
      <c r="T42" s="148">
        <v>14</v>
      </c>
      <c r="U42" s="98">
        <v>573</v>
      </c>
      <c r="V42" s="146">
        <v>502</v>
      </c>
      <c r="W42" s="137" t="s">
        <v>503</v>
      </c>
    </row>
    <row r="43" spans="1:23" ht="18" customHeight="1" x14ac:dyDescent="0.2">
      <c r="A43" s="71">
        <v>33</v>
      </c>
      <c r="B43" s="85" t="s">
        <v>716</v>
      </c>
      <c r="C43" s="71"/>
      <c r="D43" s="60"/>
      <c r="E43" s="97"/>
      <c r="F43" s="60"/>
      <c r="G43" s="60"/>
      <c r="H43" s="60"/>
      <c r="I43" s="98"/>
      <c r="J43" s="60"/>
      <c r="K43" s="75">
        <f t="shared" si="0"/>
        <v>0</v>
      </c>
      <c r="L43" s="75"/>
      <c r="M43" s="75"/>
      <c r="N43" s="147"/>
      <c r="O43" s="77">
        <v>17</v>
      </c>
      <c r="P43" s="148">
        <v>1</v>
      </c>
      <c r="Q43" s="84"/>
      <c r="R43" s="80"/>
      <c r="S43" s="148"/>
      <c r="T43" s="148">
        <v>14</v>
      </c>
      <c r="U43" s="98" t="s">
        <v>72</v>
      </c>
      <c r="V43" s="146">
        <v>25</v>
      </c>
      <c r="W43" s="137" t="s">
        <v>498</v>
      </c>
    </row>
    <row r="44" spans="1:23" customFormat="1" ht="17.45" customHeight="1" x14ac:dyDescent="0.2">
      <c r="A44" s="71">
        <v>34</v>
      </c>
      <c r="B44" s="85" t="s">
        <v>73</v>
      </c>
      <c r="C44" s="71">
        <v>1930</v>
      </c>
      <c r="D44" s="60">
        <v>1</v>
      </c>
      <c r="E44" s="97" t="s">
        <v>74</v>
      </c>
      <c r="F44" s="60"/>
      <c r="G44" s="60"/>
      <c r="H44" s="60">
        <v>5</v>
      </c>
      <c r="I44" s="98"/>
      <c r="J44" s="60"/>
      <c r="K44" s="75">
        <f t="shared" si="0"/>
        <v>149.71</v>
      </c>
      <c r="L44" s="75">
        <f>148.43+1.28</f>
        <v>149.71</v>
      </c>
      <c r="M44" s="75"/>
      <c r="N44" s="147"/>
      <c r="O44" s="77"/>
      <c r="P44" s="148"/>
      <c r="Q44" s="84"/>
      <c r="R44" s="80"/>
      <c r="S44" s="148"/>
      <c r="T44" s="148">
        <v>12</v>
      </c>
      <c r="U44" s="98">
        <v>200</v>
      </c>
      <c r="V44" s="146">
        <v>729</v>
      </c>
      <c r="W44" s="137" t="s">
        <v>481</v>
      </c>
    </row>
    <row r="45" spans="1:23" ht="16.899999999999999" customHeight="1" x14ac:dyDescent="0.2">
      <c r="A45" s="71">
        <v>35</v>
      </c>
      <c r="B45" s="85" t="s">
        <v>75</v>
      </c>
      <c r="C45" s="71">
        <v>1910</v>
      </c>
      <c r="D45" s="60">
        <v>1</v>
      </c>
      <c r="E45" s="97" t="s">
        <v>76</v>
      </c>
      <c r="F45" s="60"/>
      <c r="G45" s="60"/>
      <c r="H45" s="60">
        <v>5</v>
      </c>
      <c r="I45" s="98">
        <v>1</v>
      </c>
      <c r="J45" s="152">
        <v>44</v>
      </c>
      <c r="K45" s="75">
        <f t="shared" si="0"/>
        <v>281.64</v>
      </c>
      <c r="L45" s="75">
        <f>325.64-44</f>
        <v>281.64</v>
      </c>
      <c r="M45" s="75"/>
      <c r="N45" s="147"/>
      <c r="O45" s="77"/>
      <c r="P45" s="148"/>
      <c r="Q45" s="84"/>
      <c r="R45" s="80"/>
      <c r="S45" s="148"/>
      <c r="T45" s="148">
        <v>22</v>
      </c>
      <c r="U45" s="153" t="s">
        <v>663</v>
      </c>
      <c r="V45" s="146">
        <v>544</v>
      </c>
      <c r="W45" s="137" t="s">
        <v>482</v>
      </c>
    </row>
    <row r="46" spans="1:23" customFormat="1" ht="12.75" customHeight="1" x14ac:dyDescent="0.2">
      <c r="A46" s="177">
        <v>36</v>
      </c>
      <c r="B46" s="178" t="s">
        <v>746</v>
      </c>
      <c r="C46" s="71">
        <v>1930</v>
      </c>
      <c r="D46" s="159">
        <v>3</v>
      </c>
      <c r="E46" s="97" t="s">
        <v>77</v>
      </c>
      <c r="F46" s="71"/>
      <c r="G46" s="71"/>
      <c r="H46" s="71">
        <v>2</v>
      </c>
      <c r="I46" s="97"/>
      <c r="J46" s="71"/>
      <c r="K46" s="75">
        <f t="shared" si="0"/>
        <v>70.599999999999994</v>
      </c>
      <c r="L46" s="75">
        <v>70.599999999999994</v>
      </c>
      <c r="M46" s="75"/>
      <c r="N46" s="147"/>
      <c r="O46" s="77">
        <v>12.08</v>
      </c>
      <c r="P46" s="148">
        <v>1</v>
      </c>
      <c r="Q46" s="84"/>
      <c r="R46" s="80"/>
      <c r="S46" s="148"/>
      <c r="T46" s="164">
        <v>15</v>
      </c>
      <c r="U46" s="160" t="s">
        <v>78</v>
      </c>
      <c r="V46" s="160">
        <v>997</v>
      </c>
      <c r="W46" s="175" t="s">
        <v>565</v>
      </c>
    </row>
    <row r="47" spans="1:23" customFormat="1" x14ac:dyDescent="0.2">
      <c r="A47" s="177"/>
      <c r="B47" s="178"/>
      <c r="C47" s="71">
        <v>1928</v>
      </c>
      <c r="D47" s="159"/>
      <c r="E47" s="97" t="s">
        <v>79</v>
      </c>
      <c r="F47" s="71"/>
      <c r="G47" s="71"/>
      <c r="H47" s="71">
        <v>7</v>
      </c>
      <c r="I47" s="97">
        <v>1</v>
      </c>
      <c r="J47" s="71">
        <v>36.549999999999997</v>
      </c>
      <c r="K47" s="75">
        <f t="shared" si="0"/>
        <v>474.70000000000005</v>
      </c>
      <c r="L47" s="75">
        <f>460.04+14.66</f>
        <v>474.70000000000005</v>
      </c>
      <c r="M47" s="75"/>
      <c r="N47" s="147"/>
      <c r="O47" s="77"/>
      <c r="P47" s="148"/>
      <c r="Q47" s="84"/>
      <c r="R47" s="80"/>
      <c r="S47" s="148"/>
      <c r="T47" s="165"/>
      <c r="U47" s="160"/>
      <c r="V47" s="160"/>
      <c r="W47" s="175"/>
    </row>
    <row r="48" spans="1:23" customFormat="1" x14ac:dyDescent="0.2">
      <c r="A48" s="177"/>
      <c r="B48" s="178"/>
      <c r="C48" s="71">
        <v>1928</v>
      </c>
      <c r="D48" s="159"/>
      <c r="E48" s="97" t="s">
        <v>80</v>
      </c>
      <c r="F48" s="71"/>
      <c r="G48" s="71"/>
      <c r="H48" s="71">
        <v>2</v>
      </c>
      <c r="I48" s="97">
        <v>1</v>
      </c>
      <c r="J48" s="71">
        <v>54.89</v>
      </c>
      <c r="K48" s="75">
        <f t="shared" si="0"/>
        <v>142.18</v>
      </c>
      <c r="L48" s="75">
        <f>143.5-1.32</f>
        <v>142.18</v>
      </c>
      <c r="M48" s="75"/>
      <c r="N48" s="147"/>
      <c r="O48" s="77"/>
      <c r="P48" s="148"/>
      <c r="Q48" s="84"/>
      <c r="R48" s="80" t="s">
        <v>390</v>
      </c>
      <c r="S48" s="148"/>
      <c r="T48" s="165"/>
      <c r="U48" s="160"/>
      <c r="V48" s="160"/>
      <c r="W48" s="175"/>
    </row>
    <row r="49" spans="1:23" ht="22.5" x14ac:dyDescent="0.2">
      <c r="A49" s="71">
        <v>37</v>
      </c>
      <c r="B49" s="85" t="s">
        <v>81</v>
      </c>
      <c r="C49" s="71">
        <v>1956</v>
      </c>
      <c r="D49" s="60">
        <v>1</v>
      </c>
      <c r="E49" s="97" t="s">
        <v>82</v>
      </c>
      <c r="F49" s="60"/>
      <c r="G49" s="60"/>
      <c r="H49" s="60">
        <v>9</v>
      </c>
      <c r="I49" s="98"/>
      <c r="J49" s="60"/>
      <c r="K49" s="75">
        <f t="shared" si="0"/>
        <v>410.84</v>
      </c>
      <c r="L49" s="75">
        <v>410.84</v>
      </c>
      <c r="M49" s="75"/>
      <c r="N49" s="147"/>
      <c r="O49" s="77">
        <v>31.5</v>
      </c>
      <c r="P49" s="148">
        <v>2</v>
      </c>
      <c r="Q49" s="84" t="s">
        <v>547</v>
      </c>
      <c r="R49" s="80"/>
      <c r="S49" s="148"/>
      <c r="T49" s="148">
        <v>15</v>
      </c>
      <c r="U49" s="98">
        <v>172</v>
      </c>
      <c r="V49" s="146">
        <v>1056</v>
      </c>
      <c r="W49" s="137" t="s">
        <v>566</v>
      </c>
    </row>
    <row r="50" spans="1:23" ht="22.5" customHeight="1" x14ac:dyDescent="0.2">
      <c r="A50" s="71">
        <v>38</v>
      </c>
      <c r="B50" s="85" t="s">
        <v>83</v>
      </c>
      <c r="C50" s="71"/>
      <c r="D50" s="60"/>
      <c r="E50" s="97"/>
      <c r="F50" s="60"/>
      <c r="G50" s="60"/>
      <c r="H50" s="60"/>
      <c r="I50" s="98"/>
      <c r="J50" s="60"/>
      <c r="K50" s="75">
        <f t="shared" si="0"/>
        <v>0</v>
      </c>
      <c r="L50" s="75"/>
      <c r="M50" s="75"/>
      <c r="N50" s="147"/>
      <c r="O50" s="77">
        <v>50.17</v>
      </c>
      <c r="P50" s="148">
        <v>3</v>
      </c>
      <c r="Q50" s="84"/>
      <c r="R50" s="80"/>
      <c r="S50" s="148"/>
      <c r="T50" s="148">
        <v>22</v>
      </c>
      <c r="U50" s="97" t="s">
        <v>370</v>
      </c>
      <c r="V50" s="146">
        <v>62</v>
      </c>
      <c r="W50" s="137" t="s">
        <v>696</v>
      </c>
    </row>
    <row r="51" spans="1:23" customFormat="1" ht="16.149999999999999" customHeight="1" x14ac:dyDescent="0.2">
      <c r="A51" s="71">
        <v>39</v>
      </c>
      <c r="B51" s="85" t="s">
        <v>84</v>
      </c>
      <c r="C51" s="71">
        <v>1948</v>
      </c>
      <c r="D51" s="60">
        <v>1</v>
      </c>
      <c r="E51" s="97" t="s">
        <v>85</v>
      </c>
      <c r="F51" s="60"/>
      <c r="G51" s="60"/>
      <c r="H51" s="60">
        <v>6</v>
      </c>
      <c r="I51" s="98"/>
      <c r="J51" s="60"/>
      <c r="K51" s="75">
        <f t="shared" si="0"/>
        <v>345.99</v>
      </c>
      <c r="L51" s="75">
        <f>346-0.01</f>
        <v>345.99</v>
      </c>
      <c r="M51" s="75"/>
      <c r="N51" s="147"/>
      <c r="O51" s="77"/>
      <c r="P51" s="148"/>
      <c r="Q51" s="84"/>
      <c r="R51" s="80" t="s">
        <v>525</v>
      </c>
      <c r="S51" s="148"/>
      <c r="T51" s="148">
        <v>14</v>
      </c>
      <c r="U51" s="97" t="s">
        <v>86</v>
      </c>
      <c r="V51" s="146">
        <v>1138</v>
      </c>
      <c r="W51" s="137" t="s">
        <v>567</v>
      </c>
    </row>
    <row r="52" spans="1:23" customFormat="1" ht="24.6" customHeight="1" x14ac:dyDescent="0.2">
      <c r="A52" s="71">
        <v>40</v>
      </c>
      <c r="B52" s="85" t="s">
        <v>695</v>
      </c>
      <c r="C52" s="71">
        <v>1904</v>
      </c>
      <c r="D52" s="60">
        <v>1</v>
      </c>
      <c r="E52" s="97" t="s">
        <v>87</v>
      </c>
      <c r="F52" s="60">
        <v>1</v>
      </c>
      <c r="G52" s="60" t="s">
        <v>88</v>
      </c>
      <c r="H52" s="60">
        <v>4</v>
      </c>
      <c r="I52" s="98">
        <v>1</v>
      </c>
      <c r="J52" s="60">
        <v>30.23</v>
      </c>
      <c r="K52" s="75">
        <f t="shared" si="0"/>
        <v>520.54999999999995</v>
      </c>
      <c r="L52" s="75">
        <f>236.39-1.31-2.46</f>
        <v>232.61999999999998</v>
      </c>
      <c r="M52" s="75">
        <f>287.95-0.02</f>
        <v>287.93</v>
      </c>
      <c r="N52" s="147">
        <v>10</v>
      </c>
      <c r="O52" s="77">
        <v>67.05</v>
      </c>
      <c r="P52" s="148">
        <v>4</v>
      </c>
      <c r="Q52" s="84" t="s">
        <v>391</v>
      </c>
      <c r="R52" s="80" t="s">
        <v>392</v>
      </c>
      <c r="S52" s="148"/>
      <c r="T52" s="148">
        <v>22</v>
      </c>
      <c r="U52" s="98">
        <v>157</v>
      </c>
      <c r="V52" s="146">
        <v>1000</v>
      </c>
      <c r="W52" s="137" t="s">
        <v>568</v>
      </c>
    </row>
    <row r="53" spans="1:23" ht="18.399999999999999" customHeight="1" x14ac:dyDescent="0.2">
      <c r="A53" s="71">
        <v>41</v>
      </c>
      <c r="B53" s="85" t="s">
        <v>89</v>
      </c>
      <c r="C53" s="71">
        <v>2003</v>
      </c>
      <c r="D53" s="60">
        <v>1</v>
      </c>
      <c r="E53" s="97" t="s">
        <v>90</v>
      </c>
      <c r="F53" s="60"/>
      <c r="G53" s="60"/>
      <c r="H53" s="60">
        <v>8</v>
      </c>
      <c r="I53" s="98"/>
      <c r="J53" s="60"/>
      <c r="K53" s="75">
        <f t="shared" si="0"/>
        <v>317</v>
      </c>
      <c r="L53" s="75">
        <v>317</v>
      </c>
      <c r="M53" s="75"/>
      <c r="N53" s="147"/>
      <c r="O53" s="77"/>
      <c r="P53" s="148"/>
      <c r="Q53" s="84"/>
      <c r="R53" s="80" t="s">
        <v>393</v>
      </c>
      <c r="S53" s="148" t="s">
        <v>394</v>
      </c>
      <c r="T53" s="148">
        <v>3</v>
      </c>
      <c r="U53" s="98">
        <v>44</v>
      </c>
      <c r="V53" s="146">
        <v>1383</v>
      </c>
      <c r="W53" s="137" t="s">
        <v>569</v>
      </c>
    </row>
    <row r="54" spans="1:23" ht="18.399999999999999" customHeight="1" x14ac:dyDescent="0.2">
      <c r="A54" s="71">
        <v>42</v>
      </c>
      <c r="B54" s="85" t="s">
        <v>717</v>
      </c>
      <c r="C54" s="71">
        <v>1950</v>
      </c>
      <c r="D54" s="60">
        <v>1</v>
      </c>
      <c r="E54" s="97" t="s">
        <v>91</v>
      </c>
      <c r="F54" s="60"/>
      <c r="G54" s="60"/>
      <c r="H54" s="60">
        <v>18</v>
      </c>
      <c r="I54" s="98"/>
      <c r="J54" s="60"/>
      <c r="K54" s="75">
        <f t="shared" si="0"/>
        <v>742.2</v>
      </c>
      <c r="L54" s="75">
        <v>742.2</v>
      </c>
      <c r="M54" s="75"/>
      <c r="N54" s="147"/>
      <c r="O54" s="77"/>
      <c r="P54" s="148"/>
      <c r="Q54" s="84"/>
      <c r="R54" s="80"/>
      <c r="S54" s="148"/>
      <c r="T54" s="148">
        <v>14</v>
      </c>
      <c r="U54" s="98" t="s">
        <v>92</v>
      </c>
      <c r="V54" s="146">
        <v>1416</v>
      </c>
      <c r="W54" s="137" t="s">
        <v>570</v>
      </c>
    </row>
    <row r="55" spans="1:23" ht="22.15" customHeight="1" x14ac:dyDescent="0.2">
      <c r="A55" s="71">
        <v>43</v>
      </c>
      <c r="B55" s="85" t="s">
        <v>718</v>
      </c>
      <c r="C55" s="71">
        <v>1939</v>
      </c>
      <c r="D55" s="60">
        <v>1</v>
      </c>
      <c r="E55" s="97" t="s">
        <v>93</v>
      </c>
      <c r="F55" s="60"/>
      <c r="G55" s="60"/>
      <c r="H55" s="60">
        <v>3</v>
      </c>
      <c r="I55" s="98"/>
      <c r="J55" s="60"/>
      <c r="K55" s="75">
        <f t="shared" si="0"/>
        <v>106.94</v>
      </c>
      <c r="L55" s="75">
        <v>106.94</v>
      </c>
      <c r="M55" s="75"/>
      <c r="N55" s="147"/>
      <c r="O55" s="77">
        <v>18.079999999999998</v>
      </c>
      <c r="P55" s="148">
        <v>1</v>
      </c>
      <c r="Q55" s="84" t="s">
        <v>396</v>
      </c>
      <c r="R55" s="80" t="s">
        <v>526</v>
      </c>
      <c r="S55" s="148"/>
      <c r="T55" s="148">
        <v>20</v>
      </c>
      <c r="U55" s="98">
        <v>38</v>
      </c>
      <c r="V55" s="146">
        <v>471</v>
      </c>
      <c r="W55" s="137" t="s">
        <v>571</v>
      </c>
    </row>
    <row r="56" spans="1:23" customFormat="1" ht="18.399999999999999" customHeight="1" x14ac:dyDescent="0.2">
      <c r="A56" s="71">
        <v>44</v>
      </c>
      <c r="B56" s="85" t="s">
        <v>94</v>
      </c>
      <c r="C56" s="71">
        <v>1931</v>
      </c>
      <c r="D56" s="60">
        <v>1</v>
      </c>
      <c r="E56" s="97" t="s">
        <v>95</v>
      </c>
      <c r="F56" s="60"/>
      <c r="G56" s="60"/>
      <c r="H56" s="60">
        <v>5</v>
      </c>
      <c r="I56" s="98"/>
      <c r="J56" s="60"/>
      <c r="K56" s="75">
        <f t="shared" si="0"/>
        <v>291.13</v>
      </c>
      <c r="L56" s="75">
        <f>299.19+1.76-9.82</f>
        <v>291.13</v>
      </c>
      <c r="M56" s="75"/>
      <c r="N56" s="147"/>
      <c r="O56" s="77"/>
      <c r="P56" s="148"/>
      <c r="Q56" s="84" t="s">
        <v>640</v>
      </c>
      <c r="R56" s="80" t="s">
        <v>527</v>
      </c>
      <c r="S56" s="148"/>
      <c r="T56" s="148">
        <v>15</v>
      </c>
      <c r="U56" s="98">
        <v>175</v>
      </c>
      <c r="V56" s="146">
        <v>984</v>
      </c>
      <c r="W56" s="137" t="s">
        <v>96</v>
      </c>
    </row>
    <row r="57" spans="1:23" ht="18.399999999999999" customHeight="1" x14ac:dyDescent="0.2">
      <c r="A57" s="71">
        <v>45</v>
      </c>
      <c r="B57" s="85" t="s">
        <v>97</v>
      </c>
      <c r="C57" s="71">
        <v>1890</v>
      </c>
      <c r="D57" s="60">
        <v>1</v>
      </c>
      <c r="E57" s="97" t="s">
        <v>98</v>
      </c>
      <c r="F57" s="60"/>
      <c r="G57" s="60"/>
      <c r="H57" s="60">
        <v>12</v>
      </c>
      <c r="I57" s="98"/>
      <c r="J57" s="60"/>
      <c r="K57" s="75">
        <f t="shared" si="0"/>
        <v>433.03</v>
      </c>
      <c r="L57" s="75">
        <v>433.03</v>
      </c>
      <c r="M57" s="75"/>
      <c r="N57" s="147"/>
      <c r="O57" s="77"/>
      <c r="P57" s="148"/>
      <c r="Q57" s="148"/>
      <c r="R57" s="80" t="s">
        <v>395</v>
      </c>
      <c r="S57" s="148"/>
      <c r="T57" s="148">
        <v>21</v>
      </c>
      <c r="U57" s="98">
        <v>250</v>
      </c>
      <c r="V57" s="146">
        <v>698</v>
      </c>
      <c r="W57" s="137" t="s">
        <v>572</v>
      </c>
    </row>
    <row r="58" spans="1:23" ht="18.399999999999999" customHeight="1" x14ac:dyDescent="0.2">
      <c r="A58" s="71">
        <v>46</v>
      </c>
      <c r="B58" s="85" t="s">
        <v>99</v>
      </c>
      <c r="C58" s="71">
        <v>1931</v>
      </c>
      <c r="D58" s="60">
        <v>1</v>
      </c>
      <c r="E58" s="97" t="s">
        <v>100</v>
      </c>
      <c r="F58" s="60"/>
      <c r="G58" s="60"/>
      <c r="H58" s="60">
        <v>4</v>
      </c>
      <c r="I58" s="98"/>
      <c r="J58" s="60"/>
      <c r="K58" s="75">
        <f t="shared" si="0"/>
        <v>147.28</v>
      </c>
      <c r="L58" s="75">
        <v>147.28</v>
      </c>
      <c r="M58" s="75"/>
      <c r="N58" s="147"/>
      <c r="O58" s="77"/>
      <c r="P58" s="148"/>
      <c r="Q58" s="148"/>
      <c r="R58" s="80"/>
      <c r="S58" s="148"/>
      <c r="T58" s="148">
        <v>21</v>
      </c>
      <c r="U58" s="98" t="s">
        <v>698</v>
      </c>
      <c r="V58" s="146">
        <v>412</v>
      </c>
      <c r="W58" s="137" t="s">
        <v>573</v>
      </c>
    </row>
    <row r="59" spans="1:23" ht="18.399999999999999" customHeight="1" x14ac:dyDescent="0.2">
      <c r="A59" s="71">
        <v>47</v>
      </c>
      <c r="B59" s="85" t="s">
        <v>101</v>
      </c>
      <c r="C59" s="71"/>
      <c r="D59" s="60"/>
      <c r="E59" s="97"/>
      <c r="F59" s="60"/>
      <c r="G59" s="60"/>
      <c r="H59" s="60"/>
      <c r="I59" s="98"/>
      <c r="J59" s="60"/>
      <c r="K59" s="75">
        <f t="shared" si="0"/>
        <v>0</v>
      </c>
      <c r="L59" s="75"/>
      <c r="M59" s="75"/>
      <c r="N59" s="147"/>
      <c r="O59" s="77">
        <v>17</v>
      </c>
      <c r="P59" s="148">
        <v>1</v>
      </c>
      <c r="Q59" s="84" t="s">
        <v>454</v>
      </c>
      <c r="R59" s="80"/>
      <c r="S59" s="148"/>
      <c r="T59" s="148">
        <v>22</v>
      </c>
      <c r="U59" s="98" t="s">
        <v>102</v>
      </c>
      <c r="V59" s="146">
        <v>19</v>
      </c>
      <c r="W59" s="137" t="s">
        <v>574</v>
      </c>
    </row>
    <row r="60" spans="1:23" s="79" customFormat="1" ht="24.6" customHeight="1" x14ac:dyDescent="0.2">
      <c r="A60" s="71">
        <v>48</v>
      </c>
      <c r="B60" s="85" t="s">
        <v>103</v>
      </c>
      <c r="C60" s="71">
        <v>1986</v>
      </c>
      <c r="D60" s="60">
        <v>1</v>
      </c>
      <c r="E60" s="97" t="s">
        <v>104</v>
      </c>
      <c r="F60" s="60"/>
      <c r="G60" s="60"/>
      <c r="H60" s="60">
        <v>7</v>
      </c>
      <c r="I60" s="98"/>
      <c r="J60" s="60"/>
      <c r="K60" s="75">
        <f t="shared" si="0"/>
        <v>293.3</v>
      </c>
      <c r="L60" s="75">
        <v>293.3</v>
      </c>
      <c r="M60" s="75"/>
      <c r="N60" s="147"/>
      <c r="O60" s="77"/>
      <c r="P60" s="148"/>
      <c r="Q60" s="84"/>
      <c r="R60" s="80" t="s">
        <v>548</v>
      </c>
      <c r="S60" s="148"/>
      <c r="T60" s="148">
        <v>14</v>
      </c>
      <c r="U60" s="98">
        <v>551</v>
      </c>
      <c r="V60" s="146">
        <v>1512</v>
      </c>
      <c r="W60" s="137" t="s">
        <v>483</v>
      </c>
    </row>
    <row r="61" spans="1:23" s="70" customFormat="1" ht="24.6" customHeight="1" x14ac:dyDescent="0.2">
      <c r="A61" s="71">
        <v>49</v>
      </c>
      <c r="B61" s="85" t="s">
        <v>105</v>
      </c>
      <c r="C61" s="71">
        <v>1932</v>
      </c>
      <c r="D61" s="60">
        <v>2</v>
      </c>
      <c r="E61" s="97" t="s">
        <v>106</v>
      </c>
      <c r="F61" s="60"/>
      <c r="G61" s="60"/>
      <c r="H61" s="60">
        <f>13-1</f>
        <v>12</v>
      </c>
      <c r="I61" s="98">
        <v>1</v>
      </c>
      <c r="J61" s="60">
        <v>14.82</v>
      </c>
      <c r="K61" s="75">
        <f t="shared" si="0"/>
        <v>489.96</v>
      </c>
      <c r="L61" s="75">
        <f>504.78-14.82</f>
        <v>489.96</v>
      </c>
      <c r="M61" s="75"/>
      <c r="N61" s="147"/>
      <c r="O61" s="77"/>
      <c r="P61" s="148"/>
      <c r="Q61" s="84"/>
      <c r="R61" s="80" t="s">
        <v>397</v>
      </c>
      <c r="S61" s="148"/>
      <c r="T61" s="148">
        <v>14</v>
      </c>
      <c r="U61" s="98" t="s">
        <v>107</v>
      </c>
      <c r="V61" s="146">
        <v>891</v>
      </c>
      <c r="W61" s="137" t="s">
        <v>575</v>
      </c>
    </row>
    <row r="62" spans="1:23" customFormat="1" ht="24.6" customHeight="1" x14ac:dyDescent="0.2">
      <c r="A62" s="71">
        <v>50</v>
      </c>
      <c r="B62" s="85" t="s">
        <v>108</v>
      </c>
      <c r="C62" s="71">
        <v>1890</v>
      </c>
      <c r="D62" s="60">
        <v>2</v>
      </c>
      <c r="E62" s="97" t="s">
        <v>109</v>
      </c>
      <c r="F62" s="60"/>
      <c r="G62" s="60"/>
      <c r="H62" s="60">
        <f>23+1</f>
        <v>24</v>
      </c>
      <c r="I62" s="98">
        <v>1</v>
      </c>
      <c r="J62" s="60">
        <v>42.17</v>
      </c>
      <c r="K62" s="75">
        <f t="shared" si="0"/>
        <v>1199.9000000000001</v>
      </c>
      <c r="L62" s="75">
        <f>1114.17-1.95+0.15-1.75-1.63+0.96-1.36</f>
        <v>1108.5900000000001</v>
      </c>
      <c r="M62" s="75">
        <v>91.31</v>
      </c>
      <c r="N62" s="147">
        <v>2</v>
      </c>
      <c r="O62" s="77"/>
      <c r="P62" s="148"/>
      <c r="Q62" s="84"/>
      <c r="R62" s="80"/>
      <c r="S62" s="148"/>
      <c r="T62" s="148">
        <v>21</v>
      </c>
      <c r="U62" s="98" t="s">
        <v>110</v>
      </c>
      <c r="V62" s="146">
        <v>1329</v>
      </c>
      <c r="W62" s="137" t="s">
        <v>499</v>
      </c>
    </row>
    <row r="63" spans="1:23" s="70" customFormat="1" ht="66.75" customHeight="1" x14ac:dyDescent="0.2">
      <c r="A63" s="71">
        <v>51</v>
      </c>
      <c r="B63" s="85" t="s">
        <v>111</v>
      </c>
      <c r="C63" s="71">
        <v>1880</v>
      </c>
      <c r="D63" s="60">
        <v>1</v>
      </c>
      <c r="E63" s="97" t="s">
        <v>112</v>
      </c>
      <c r="F63" s="60">
        <v>5</v>
      </c>
      <c r="G63" s="71" t="s">
        <v>113</v>
      </c>
      <c r="H63" s="60">
        <v>4</v>
      </c>
      <c r="I63" s="98"/>
      <c r="J63" s="60"/>
      <c r="K63" s="75">
        <f t="shared" si="0"/>
        <v>720.71</v>
      </c>
      <c r="L63" s="75">
        <v>269.60000000000002</v>
      </c>
      <c r="M63" s="75">
        <f>575.43-124.32</f>
        <v>451.10999999999996</v>
      </c>
      <c r="N63" s="147">
        <f>5-1</f>
        <v>4</v>
      </c>
      <c r="O63" s="77"/>
      <c r="P63" s="148"/>
      <c r="Q63" s="84"/>
      <c r="R63" s="84" t="s">
        <v>528</v>
      </c>
      <c r="S63" s="148"/>
      <c r="T63" s="148">
        <v>21</v>
      </c>
      <c r="U63" s="98" t="s">
        <v>114</v>
      </c>
      <c r="V63" s="146">
        <v>1513</v>
      </c>
      <c r="W63" s="137" t="s">
        <v>506</v>
      </c>
    </row>
    <row r="64" spans="1:23" s="79" customFormat="1" ht="45" x14ac:dyDescent="0.2">
      <c r="A64" s="159">
        <v>52</v>
      </c>
      <c r="B64" s="85" t="s">
        <v>115</v>
      </c>
      <c r="C64" s="74" t="s">
        <v>116</v>
      </c>
      <c r="D64" s="60">
        <v>4</v>
      </c>
      <c r="E64" s="97" t="s">
        <v>117</v>
      </c>
      <c r="F64" s="60">
        <v>1</v>
      </c>
      <c r="G64" s="60" t="s">
        <v>118</v>
      </c>
      <c r="H64" s="60">
        <v>20</v>
      </c>
      <c r="I64" s="98"/>
      <c r="J64" s="60"/>
      <c r="K64" s="75">
        <f t="shared" si="0"/>
        <v>1723.0500000000002</v>
      </c>
      <c r="L64" s="75">
        <f>1027.88+1.28+42.46+42.34</f>
        <v>1113.96</v>
      </c>
      <c r="M64" s="75">
        <v>609.09</v>
      </c>
      <c r="N64" s="147">
        <v>9</v>
      </c>
      <c r="O64" s="77">
        <v>43.44</v>
      </c>
      <c r="P64" s="148">
        <v>3</v>
      </c>
      <c r="Q64" s="84"/>
      <c r="R64" s="80"/>
      <c r="S64" s="148"/>
      <c r="T64" s="164">
        <v>21</v>
      </c>
      <c r="U64" s="160" t="s">
        <v>119</v>
      </c>
      <c r="V64" s="161">
        <v>2898</v>
      </c>
      <c r="W64" s="175" t="s">
        <v>576</v>
      </c>
    </row>
    <row r="65" spans="1:23" ht="15.6" customHeight="1" x14ac:dyDescent="0.2">
      <c r="A65" s="159"/>
      <c r="B65" s="85" t="s">
        <v>120</v>
      </c>
      <c r="C65" s="71">
        <v>2014</v>
      </c>
      <c r="D65" s="60">
        <v>1</v>
      </c>
      <c r="E65" s="97" t="s">
        <v>365</v>
      </c>
      <c r="F65" s="60"/>
      <c r="G65" s="60"/>
      <c r="H65" s="60">
        <v>16</v>
      </c>
      <c r="I65" s="98"/>
      <c r="J65" s="60"/>
      <c r="K65" s="75">
        <f t="shared" si="0"/>
        <v>779.23</v>
      </c>
      <c r="L65" s="75">
        <v>779.23</v>
      </c>
      <c r="M65" s="75"/>
      <c r="N65" s="147"/>
      <c r="O65" s="77"/>
      <c r="P65" s="148"/>
      <c r="Q65" s="84"/>
      <c r="R65" s="80"/>
      <c r="S65" s="148"/>
      <c r="T65" s="165"/>
      <c r="U65" s="165"/>
      <c r="V65" s="165"/>
      <c r="W65" s="176"/>
    </row>
    <row r="66" spans="1:23" s="5" customFormat="1" ht="25.15" customHeight="1" x14ac:dyDescent="0.2">
      <c r="A66" s="71">
        <v>53</v>
      </c>
      <c r="B66" s="85" t="s">
        <v>121</v>
      </c>
      <c r="C66" s="71">
        <v>1890</v>
      </c>
      <c r="D66" s="60">
        <v>2</v>
      </c>
      <c r="E66" s="97" t="s">
        <v>122</v>
      </c>
      <c r="F66" s="60"/>
      <c r="G66" s="60"/>
      <c r="H66" s="60">
        <v>7</v>
      </c>
      <c r="I66" s="98">
        <v>5</v>
      </c>
      <c r="J66" s="60">
        <v>109.55</v>
      </c>
      <c r="K66" s="75">
        <f t="shared" si="0"/>
        <v>354.39</v>
      </c>
      <c r="L66" s="75">
        <f>279.76+0.09-0.75</f>
        <v>279.09999999999997</v>
      </c>
      <c r="M66" s="75">
        <v>75.289999999999992</v>
      </c>
      <c r="N66" s="147">
        <v>2</v>
      </c>
      <c r="O66" s="77"/>
      <c r="P66" s="148"/>
      <c r="Q66" s="84"/>
      <c r="R66" s="80" t="s">
        <v>461</v>
      </c>
      <c r="S66" s="148"/>
      <c r="T66" s="105">
        <v>21</v>
      </c>
      <c r="U66" s="106" t="s">
        <v>123</v>
      </c>
      <c r="V66" s="101">
        <v>503</v>
      </c>
      <c r="W66" s="138" t="s">
        <v>577</v>
      </c>
    </row>
    <row r="67" spans="1:23" ht="34.9" customHeight="1" x14ac:dyDescent="0.2">
      <c r="A67" s="71">
        <v>54</v>
      </c>
      <c r="B67" s="85" t="s">
        <v>124</v>
      </c>
      <c r="C67" s="71">
        <v>1890</v>
      </c>
      <c r="D67" s="60">
        <v>1</v>
      </c>
      <c r="E67" s="97" t="s">
        <v>372</v>
      </c>
      <c r="F67" s="60"/>
      <c r="G67" s="60"/>
      <c r="H67" s="60">
        <v>7</v>
      </c>
      <c r="I67" s="98">
        <v>1</v>
      </c>
      <c r="J67" s="60">
        <v>19.46</v>
      </c>
      <c r="K67" s="75">
        <f t="shared" si="0"/>
        <v>260.64</v>
      </c>
      <c r="L67" s="75">
        <v>260.64</v>
      </c>
      <c r="M67" s="75"/>
      <c r="N67" s="147"/>
      <c r="O67" s="77"/>
      <c r="P67" s="148"/>
      <c r="Q67" s="84"/>
      <c r="R67" s="84" t="s">
        <v>398</v>
      </c>
      <c r="S67" s="148"/>
      <c r="T67" s="148">
        <v>16</v>
      </c>
      <c r="U67" s="98">
        <v>448</v>
      </c>
      <c r="V67" s="146">
        <v>808</v>
      </c>
      <c r="W67" s="137" t="s">
        <v>486</v>
      </c>
    </row>
    <row r="68" spans="1:23" ht="45" customHeight="1" x14ac:dyDescent="0.2">
      <c r="A68" s="71">
        <v>55</v>
      </c>
      <c r="B68" s="85" t="s">
        <v>125</v>
      </c>
      <c r="C68" s="71">
        <v>1880</v>
      </c>
      <c r="D68" s="60">
        <v>1</v>
      </c>
      <c r="E68" s="97" t="s">
        <v>126</v>
      </c>
      <c r="F68" s="60"/>
      <c r="G68" s="60"/>
      <c r="H68" s="60">
        <v>23</v>
      </c>
      <c r="I68" s="98"/>
      <c r="J68" s="60"/>
      <c r="K68" s="75">
        <f t="shared" si="0"/>
        <v>1301.29</v>
      </c>
      <c r="L68" s="75">
        <f>1205.17-0.79-0.74-0.43-1.74</f>
        <v>1201.47</v>
      </c>
      <c r="M68" s="75">
        <v>99.82</v>
      </c>
      <c r="N68" s="147">
        <v>2</v>
      </c>
      <c r="O68" s="77"/>
      <c r="P68" s="148"/>
      <c r="Q68" s="84"/>
      <c r="R68" s="84" t="s">
        <v>529</v>
      </c>
      <c r="S68" s="148"/>
      <c r="T68" s="148">
        <v>21</v>
      </c>
      <c r="U68" s="98">
        <v>164</v>
      </c>
      <c r="V68" s="146">
        <v>761</v>
      </c>
      <c r="W68" s="137" t="s">
        <v>578</v>
      </c>
    </row>
    <row r="69" spans="1:23" s="70" customFormat="1" ht="51" customHeight="1" x14ac:dyDescent="0.2">
      <c r="A69" s="71">
        <v>56</v>
      </c>
      <c r="B69" s="85" t="s">
        <v>643</v>
      </c>
      <c r="C69" s="71" t="s">
        <v>645</v>
      </c>
      <c r="D69" s="154">
        <v>2</v>
      </c>
      <c r="E69" s="84" t="s">
        <v>646</v>
      </c>
      <c r="F69" s="90"/>
      <c r="G69" s="90"/>
      <c r="H69" s="90">
        <f>4+1</f>
        <v>5</v>
      </c>
      <c r="I69" s="85">
        <f>2-1</f>
        <v>1</v>
      </c>
      <c r="J69" s="92">
        <f>160.6-58.34</f>
        <v>102.25999999999999</v>
      </c>
      <c r="K69" s="75">
        <f t="shared" si="0"/>
        <v>433.74</v>
      </c>
      <c r="L69" s="119">
        <f>301.13+58.34+12.44</f>
        <v>371.91</v>
      </c>
      <c r="M69" s="75">
        <v>61.83</v>
      </c>
      <c r="N69" s="120">
        <v>3</v>
      </c>
      <c r="O69" s="97"/>
      <c r="P69" s="121"/>
      <c r="Q69" s="97"/>
      <c r="R69" s="97" t="s">
        <v>654</v>
      </c>
      <c r="S69" s="85"/>
      <c r="T69" s="85">
        <v>21</v>
      </c>
      <c r="U69" s="97" t="s">
        <v>644</v>
      </c>
      <c r="V69" s="85">
        <v>1153</v>
      </c>
      <c r="W69" s="137" t="s">
        <v>648</v>
      </c>
    </row>
    <row r="70" spans="1:23" s="79" customFormat="1" ht="35.450000000000003" customHeight="1" x14ac:dyDescent="0.2">
      <c r="A70" s="71">
        <v>57</v>
      </c>
      <c r="B70" s="85" t="s">
        <v>719</v>
      </c>
      <c r="C70" s="71" t="s">
        <v>127</v>
      </c>
      <c r="D70" s="60">
        <v>3</v>
      </c>
      <c r="E70" s="97" t="s">
        <v>128</v>
      </c>
      <c r="F70" s="60"/>
      <c r="G70" s="60"/>
      <c r="H70" s="60">
        <v>14</v>
      </c>
      <c r="I70" s="98">
        <f>3-1</f>
        <v>2</v>
      </c>
      <c r="J70" s="60">
        <f>66.68-21.9</f>
        <v>44.780000000000008</v>
      </c>
      <c r="K70" s="75">
        <f t="shared" ref="K70:K134" si="1">L70+M70</f>
        <v>510.99</v>
      </c>
      <c r="L70" s="75">
        <f>514.76-1.99-1.78</f>
        <v>510.99</v>
      </c>
      <c r="M70" s="75"/>
      <c r="N70" s="147"/>
      <c r="O70" s="77"/>
      <c r="P70" s="148"/>
      <c r="Q70" s="84"/>
      <c r="R70" s="80" t="s">
        <v>472</v>
      </c>
      <c r="S70" s="148"/>
      <c r="T70" s="148">
        <v>21</v>
      </c>
      <c r="U70" s="98" t="s">
        <v>129</v>
      </c>
      <c r="V70" s="146">
        <v>990</v>
      </c>
      <c r="W70" s="137" t="s">
        <v>681</v>
      </c>
    </row>
    <row r="71" spans="1:23" s="70" customFormat="1" ht="18.600000000000001" customHeight="1" x14ac:dyDescent="0.2">
      <c r="A71" s="71">
        <v>58</v>
      </c>
      <c r="B71" s="85" t="s">
        <v>720</v>
      </c>
      <c r="C71" s="71">
        <v>1896</v>
      </c>
      <c r="D71" s="60">
        <v>1</v>
      </c>
      <c r="E71" s="97" t="s">
        <v>130</v>
      </c>
      <c r="F71" s="60"/>
      <c r="G71" s="60"/>
      <c r="H71" s="60">
        <v>10</v>
      </c>
      <c r="I71" s="98"/>
      <c r="J71" s="60"/>
      <c r="K71" s="75">
        <f t="shared" si="1"/>
        <v>384.14</v>
      </c>
      <c r="L71" s="75">
        <f>386.23-2.43+0.34</f>
        <v>384.14</v>
      </c>
      <c r="M71" s="75"/>
      <c r="N71" s="147"/>
      <c r="O71" s="77"/>
      <c r="P71" s="148"/>
      <c r="Q71" s="84"/>
      <c r="R71" s="80" t="s">
        <v>636</v>
      </c>
      <c r="S71" s="148"/>
      <c r="T71" s="148">
        <v>14</v>
      </c>
      <c r="U71" s="98">
        <v>588</v>
      </c>
      <c r="V71" s="146">
        <v>1494</v>
      </c>
      <c r="W71" s="137" t="s">
        <v>500</v>
      </c>
    </row>
    <row r="72" spans="1:23" s="86" customFormat="1" ht="25.5" customHeight="1" x14ac:dyDescent="0.2">
      <c r="A72" s="71">
        <v>59</v>
      </c>
      <c r="B72" s="85" t="s">
        <v>131</v>
      </c>
      <c r="C72" s="71" t="s">
        <v>132</v>
      </c>
      <c r="D72" s="60">
        <v>2</v>
      </c>
      <c r="E72" s="97" t="s">
        <v>133</v>
      </c>
      <c r="F72" s="60"/>
      <c r="G72" s="60"/>
      <c r="H72" s="60">
        <v>15</v>
      </c>
      <c r="I72" s="98"/>
      <c r="J72" s="60"/>
      <c r="K72" s="75">
        <f t="shared" si="1"/>
        <v>584.4899999999999</v>
      </c>
      <c r="L72" s="75">
        <f>583.93-3+1.93+3.37-1.74</f>
        <v>584.4899999999999</v>
      </c>
      <c r="M72" s="75"/>
      <c r="N72" s="147"/>
      <c r="O72" s="77"/>
      <c r="P72" s="148"/>
      <c r="Q72" s="84"/>
      <c r="R72" s="80" t="s">
        <v>530</v>
      </c>
      <c r="S72" s="148"/>
      <c r="T72" s="105">
        <v>21</v>
      </c>
      <c r="U72" s="100" t="s">
        <v>134</v>
      </c>
      <c r="V72" s="101">
        <v>1166</v>
      </c>
      <c r="W72" s="138" t="s">
        <v>682</v>
      </c>
    </row>
    <row r="73" spans="1:23" s="87" customFormat="1" ht="26.25" customHeight="1" x14ac:dyDescent="0.2">
      <c r="A73" s="159">
        <v>60</v>
      </c>
      <c r="B73" s="85" t="s">
        <v>721</v>
      </c>
      <c r="C73" s="71">
        <v>1935</v>
      </c>
      <c r="D73" s="60">
        <v>1</v>
      </c>
      <c r="E73" s="97" t="s">
        <v>448</v>
      </c>
      <c r="F73" s="60"/>
      <c r="G73" s="60"/>
      <c r="H73" s="60">
        <v>18</v>
      </c>
      <c r="I73" s="98"/>
      <c r="J73" s="60"/>
      <c r="K73" s="75">
        <f t="shared" si="1"/>
        <v>541.6099999999999</v>
      </c>
      <c r="L73" s="75">
        <f>541.53+1.3-1.33+0.11</f>
        <v>541.6099999999999</v>
      </c>
      <c r="M73" s="75"/>
      <c r="N73" s="147"/>
      <c r="O73" s="77"/>
      <c r="P73" s="148"/>
      <c r="Q73" s="84"/>
      <c r="R73" s="168" t="s">
        <v>647</v>
      </c>
      <c r="S73" s="148"/>
      <c r="T73" s="164">
        <v>40</v>
      </c>
      <c r="U73" s="160" t="s">
        <v>135</v>
      </c>
      <c r="V73" s="161">
        <v>4032</v>
      </c>
      <c r="W73" s="175" t="s">
        <v>579</v>
      </c>
    </row>
    <row r="74" spans="1:23" s="86" customFormat="1" ht="20.45" customHeight="1" x14ac:dyDescent="0.2">
      <c r="A74" s="159"/>
      <c r="B74" s="85" t="s">
        <v>136</v>
      </c>
      <c r="C74" s="71">
        <v>1960</v>
      </c>
      <c r="D74" s="60">
        <v>1</v>
      </c>
      <c r="E74" s="97" t="s">
        <v>137</v>
      </c>
      <c r="F74" s="60"/>
      <c r="G74" s="60"/>
      <c r="H74" s="60">
        <v>16</v>
      </c>
      <c r="I74" s="98"/>
      <c r="J74" s="60"/>
      <c r="K74" s="75">
        <f t="shared" si="1"/>
        <v>616.29</v>
      </c>
      <c r="L74" s="75">
        <f>616.91-0.62</f>
        <v>616.29</v>
      </c>
      <c r="M74" s="75"/>
      <c r="N74" s="147"/>
      <c r="O74" s="77">
        <v>19.309999999999999</v>
      </c>
      <c r="P74" s="148">
        <v>1</v>
      </c>
      <c r="Q74" s="84" t="s">
        <v>455</v>
      </c>
      <c r="R74" s="167"/>
      <c r="S74" s="148"/>
      <c r="T74" s="165"/>
      <c r="U74" s="160"/>
      <c r="V74" s="160"/>
      <c r="W74" s="175"/>
    </row>
    <row r="75" spans="1:23" ht="43.5" customHeight="1" x14ac:dyDescent="0.2">
      <c r="A75" s="71">
        <v>61</v>
      </c>
      <c r="B75" s="93" t="s">
        <v>138</v>
      </c>
      <c r="C75" s="74" t="s">
        <v>139</v>
      </c>
      <c r="D75" s="60">
        <v>3</v>
      </c>
      <c r="E75" s="95" t="s">
        <v>140</v>
      </c>
      <c r="F75" s="60"/>
      <c r="G75" s="60"/>
      <c r="H75" s="60">
        <v>44</v>
      </c>
      <c r="I75" s="98"/>
      <c r="J75" s="60"/>
      <c r="K75" s="75">
        <f t="shared" si="1"/>
        <v>1393.3200000000002</v>
      </c>
      <c r="L75" s="149">
        <v>1393.3200000000002</v>
      </c>
      <c r="M75" s="149"/>
      <c r="N75" s="147"/>
      <c r="O75" s="77"/>
      <c r="P75" s="148"/>
      <c r="Q75" s="84"/>
      <c r="R75" s="84" t="s">
        <v>449</v>
      </c>
      <c r="S75" s="148"/>
      <c r="T75" s="148">
        <v>40</v>
      </c>
      <c r="U75" s="107" t="s">
        <v>141</v>
      </c>
      <c r="V75" s="108">
        <v>5413</v>
      </c>
      <c r="W75" s="137" t="s">
        <v>580</v>
      </c>
    </row>
    <row r="76" spans="1:23" ht="23.25" customHeight="1" x14ac:dyDescent="0.2">
      <c r="A76" s="159">
        <v>62</v>
      </c>
      <c r="B76" s="178" t="s">
        <v>488</v>
      </c>
      <c r="C76" s="71">
        <v>1970</v>
      </c>
      <c r="D76" s="60">
        <v>1</v>
      </c>
      <c r="E76" s="97" t="s">
        <v>142</v>
      </c>
      <c r="F76" s="60"/>
      <c r="G76" s="60"/>
      <c r="H76" s="60">
        <v>4</v>
      </c>
      <c r="I76" s="98"/>
      <c r="J76" s="60"/>
      <c r="K76" s="75">
        <f t="shared" si="1"/>
        <v>204.23</v>
      </c>
      <c r="L76" s="75">
        <f>208.64-4.41</f>
        <v>204.23</v>
      </c>
      <c r="M76" s="75"/>
      <c r="N76" s="147"/>
      <c r="O76" s="77"/>
      <c r="P76" s="148"/>
      <c r="Q76" s="84"/>
      <c r="R76" s="80"/>
      <c r="S76" s="148" t="s">
        <v>399</v>
      </c>
      <c r="T76" s="164">
        <v>13</v>
      </c>
      <c r="U76" s="161" t="s">
        <v>143</v>
      </c>
      <c r="V76" s="160">
        <v>5021</v>
      </c>
      <c r="W76" s="175" t="s">
        <v>683</v>
      </c>
    </row>
    <row r="77" spans="1:23" x14ac:dyDescent="0.2">
      <c r="A77" s="159"/>
      <c r="B77" s="178"/>
      <c r="C77" s="71"/>
      <c r="D77" s="60"/>
      <c r="E77" s="97"/>
      <c r="F77" s="60"/>
      <c r="G77" s="60"/>
      <c r="H77" s="60"/>
      <c r="I77" s="98"/>
      <c r="J77" s="60"/>
      <c r="K77" s="75">
        <f t="shared" si="1"/>
        <v>0</v>
      </c>
      <c r="L77" s="75"/>
      <c r="M77" s="75"/>
      <c r="N77" s="147"/>
      <c r="O77" s="77">
        <v>49.5</v>
      </c>
      <c r="P77" s="148">
        <v>3</v>
      </c>
      <c r="Q77" s="84"/>
      <c r="R77" s="80"/>
      <c r="S77" s="148"/>
      <c r="T77" s="165"/>
      <c r="U77" s="160"/>
      <c r="V77" s="160"/>
      <c r="W77" s="175"/>
    </row>
    <row r="78" spans="1:23" ht="19.899999999999999" customHeight="1" x14ac:dyDescent="0.2">
      <c r="A78" s="71">
        <v>63</v>
      </c>
      <c r="B78" s="85" t="s">
        <v>144</v>
      </c>
      <c r="C78" s="71">
        <v>2006</v>
      </c>
      <c r="D78" s="60">
        <v>1</v>
      </c>
      <c r="E78" s="97" t="s">
        <v>145</v>
      </c>
      <c r="F78" s="60"/>
      <c r="G78" s="60"/>
      <c r="H78" s="60">
        <v>28</v>
      </c>
      <c r="I78" s="98"/>
      <c r="J78" s="60"/>
      <c r="K78" s="75">
        <f t="shared" si="1"/>
        <v>1301.7</v>
      </c>
      <c r="L78" s="75">
        <v>1301.7</v>
      </c>
      <c r="M78" s="75"/>
      <c r="N78" s="147"/>
      <c r="O78" s="77"/>
      <c r="P78" s="148"/>
      <c r="Q78" s="84" t="s">
        <v>531</v>
      </c>
      <c r="R78" s="80"/>
      <c r="S78" s="148"/>
      <c r="T78" s="148">
        <v>13</v>
      </c>
      <c r="U78" s="98" t="s">
        <v>146</v>
      </c>
      <c r="V78" s="98">
        <v>2744</v>
      </c>
      <c r="W78" s="137" t="s">
        <v>683</v>
      </c>
    </row>
    <row r="79" spans="1:23" s="70" customFormat="1" ht="22.5" x14ac:dyDescent="0.2">
      <c r="A79" s="71">
        <v>64</v>
      </c>
      <c r="B79" s="85" t="s">
        <v>723</v>
      </c>
      <c r="C79" s="71" t="s">
        <v>367</v>
      </c>
      <c r="D79" s="60">
        <v>2</v>
      </c>
      <c r="E79" s="97" t="s">
        <v>456</v>
      </c>
      <c r="F79" s="60"/>
      <c r="G79" s="60"/>
      <c r="H79" s="60">
        <v>6</v>
      </c>
      <c r="I79" s="98"/>
      <c r="J79" s="76"/>
      <c r="K79" s="75">
        <f t="shared" si="1"/>
        <v>258.77999999999997</v>
      </c>
      <c r="L79" s="75">
        <f>242.42+0.36</f>
        <v>242.78</v>
      </c>
      <c r="M79" s="75">
        <v>16</v>
      </c>
      <c r="N79" s="147">
        <v>1</v>
      </c>
      <c r="O79" s="149"/>
      <c r="P79" s="147"/>
      <c r="Q79" s="84"/>
      <c r="R79" s="80"/>
      <c r="S79" s="147"/>
      <c r="T79" s="147">
        <v>32</v>
      </c>
      <c r="U79" s="97" t="s">
        <v>369</v>
      </c>
      <c r="V79" s="90">
        <v>1443</v>
      </c>
      <c r="W79" s="137" t="s">
        <v>368</v>
      </c>
    </row>
    <row r="80" spans="1:23" s="70" customFormat="1" ht="45" customHeight="1" x14ac:dyDescent="0.2">
      <c r="A80" s="71">
        <v>65</v>
      </c>
      <c r="B80" s="85" t="s">
        <v>147</v>
      </c>
      <c r="C80" s="71">
        <v>1909</v>
      </c>
      <c r="D80" s="60">
        <v>1</v>
      </c>
      <c r="E80" s="97" t="s">
        <v>148</v>
      </c>
      <c r="F80" s="60"/>
      <c r="G80" s="60"/>
      <c r="H80" s="60">
        <v>18</v>
      </c>
      <c r="I80" s="98">
        <v>1</v>
      </c>
      <c r="J80" s="60">
        <v>15.14</v>
      </c>
      <c r="K80" s="75">
        <f t="shared" si="1"/>
        <v>602.45000000000005</v>
      </c>
      <c r="L80" s="75">
        <f>604.23-1-0.78</f>
        <v>602.45000000000005</v>
      </c>
      <c r="M80" s="75"/>
      <c r="N80" s="147"/>
      <c r="O80" s="77"/>
      <c r="P80" s="148"/>
      <c r="Q80" s="84"/>
      <c r="R80" s="84" t="s">
        <v>532</v>
      </c>
      <c r="S80" s="148"/>
      <c r="T80" s="148">
        <v>32</v>
      </c>
      <c r="U80" s="98" t="s">
        <v>149</v>
      </c>
      <c r="V80" s="146">
        <v>1494</v>
      </c>
      <c r="W80" s="137" t="s">
        <v>581</v>
      </c>
    </row>
    <row r="81" spans="1:23" customFormat="1" ht="15.6" customHeight="1" x14ac:dyDescent="0.2">
      <c r="A81" s="71">
        <v>66</v>
      </c>
      <c r="B81" s="149" t="s">
        <v>722</v>
      </c>
      <c r="C81" s="71">
        <v>1938</v>
      </c>
      <c r="D81" s="60">
        <v>1</v>
      </c>
      <c r="E81" s="97" t="s">
        <v>366</v>
      </c>
      <c r="F81" s="60"/>
      <c r="G81" s="60"/>
      <c r="H81" s="154">
        <v>6</v>
      </c>
      <c r="I81" s="148"/>
      <c r="J81" s="76"/>
      <c r="K81" s="75">
        <f t="shared" si="1"/>
        <v>161.74</v>
      </c>
      <c r="L81" s="75">
        <v>161.74</v>
      </c>
      <c r="M81" s="60"/>
      <c r="N81" s="60"/>
      <c r="O81" s="60"/>
      <c r="P81" s="60"/>
      <c r="Q81" s="97"/>
      <c r="R81" s="91" t="s">
        <v>400</v>
      </c>
      <c r="S81" s="60"/>
      <c r="T81" s="60">
        <v>41</v>
      </c>
      <c r="U81" s="153" t="s">
        <v>665</v>
      </c>
      <c r="V81" s="104">
        <v>2285</v>
      </c>
      <c r="W81" s="137" t="s">
        <v>487</v>
      </c>
    </row>
    <row r="82" spans="1:23" ht="25.5" customHeight="1" x14ac:dyDescent="0.2">
      <c r="A82" s="71">
        <v>67</v>
      </c>
      <c r="B82" s="85" t="s">
        <v>150</v>
      </c>
      <c r="C82" s="71">
        <v>1880</v>
      </c>
      <c r="D82" s="60">
        <v>1</v>
      </c>
      <c r="E82" s="97" t="s">
        <v>151</v>
      </c>
      <c r="F82" s="60"/>
      <c r="G82" s="60"/>
      <c r="H82" s="60">
        <v>10</v>
      </c>
      <c r="I82" s="98"/>
      <c r="J82" s="60"/>
      <c r="K82" s="75">
        <f t="shared" si="1"/>
        <v>640.41</v>
      </c>
      <c r="L82" s="75">
        <v>427.9</v>
      </c>
      <c r="M82" s="75">
        <v>212.51</v>
      </c>
      <c r="N82" s="147">
        <v>1</v>
      </c>
      <c r="O82" s="77"/>
      <c r="P82" s="148"/>
      <c r="Q82" s="84"/>
      <c r="R82" s="96"/>
      <c r="S82" s="148"/>
      <c r="T82" s="148">
        <v>21</v>
      </c>
      <c r="U82" s="98">
        <v>65</v>
      </c>
      <c r="V82" s="146">
        <v>319</v>
      </c>
      <c r="W82" s="137" t="s">
        <v>502</v>
      </c>
    </row>
    <row r="83" spans="1:23" s="70" customFormat="1" ht="42.6" customHeight="1" x14ac:dyDescent="0.2">
      <c r="A83" s="71">
        <v>68</v>
      </c>
      <c r="B83" s="85" t="s">
        <v>152</v>
      </c>
      <c r="C83" s="71" t="s">
        <v>153</v>
      </c>
      <c r="D83" s="60">
        <v>4</v>
      </c>
      <c r="E83" s="97" t="s">
        <v>154</v>
      </c>
      <c r="F83" s="60"/>
      <c r="G83" s="60"/>
      <c r="H83" s="60">
        <v>20</v>
      </c>
      <c r="I83" s="98"/>
      <c r="J83" s="60"/>
      <c r="K83" s="75">
        <f t="shared" si="1"/>
        <v>911.81999999999994</v>
      </c>
      <c r="L83" s="75">
        <f>831.69-2.08-0.62-0.45-0.93+7.73-1.83-1.25</f>
        <v>832.26</v>
      </c>
      <c r="M83" s="75">
        <v>79.56</v>
      </c>
      <c r="N83" s="147">
        <v>3</v>
      </c>
      <c r="O83" s="77"/>
      <c r="P83" s="148"/>
      <c r="Q83" s="84"/>
      <c r="R83" s="84" t="s">
        <v>401</v>
      </c>
      <c r="S83" s="148"/>
      <c r="T83" s="148">
        <v>21</v>
      </c>
      <c r="U83" s="98">
        <v>156</v>
      </c>
      <c r="V83" s="146">
        <v>929</v>
      </c>
      <c r="W83" s="137" t="s">
        <v>684</v>
      </c>
    </row>
    <row r="84" spans="1:23" ht="23.25" customHeight="1" x14ac:dyDescent="0.2">
      <c r="A84" s="71">
        <v>69</v>
      </c>
      <c r="B84" s="85" t="s">
        <v>155</v>
      </c>
      <c r="C84" s="71">
        <v>1880</v>
      </c>
      <c r="D84" s="60">
        <v>1</v>
      </c>
      <c r="E84" s="97" t="s">
        <v>156</v>
      </c>
      <c r="F84" s="60"/>
      <c r="G84" s="60"/>
      <c r="H84" s="60">
        <v>6</v>
      </c>
      <c r="I84" s="98">
        <v>1</v>
      </c>
      <c r="J84" s="60">
        <v>18.079999999999998</v>
      </c>
      <c r="K84" s="75">
        <f t="shared" si="1"/>
        <v>425.57999999999993</v>
      </c>
      <c r="L84" s="75">
        <v>304.30999999999995</v>
      </c>
      <c r="M84" s="75">
        <v>121.27000000000001</v>
      </c>
      <c r="N84" s="147">
        <v>3</v>
      </c>
      <c r="O84" s="77"/>
      <c r="P84" s="148"/>
      <c r="Q84" s="84"/>
      <c r="R84" s="84" t="s">
        <v>402</v>
      </c>
      <c r="S84" s="148"/>
      <c r="T84" s="148">
        <v>21</v>
      </c>
      <c r="U84" s="98">
        <v>161</v>
      </c>
      <c r="V84" s="146">
        <v>345</v>
      </c>
      <c r="W84" s="137" t="s">
        <v>582</v>
      </c>
    </row>
    <row r="85" spans="1:23" customFormat="1" ht="23.45" customHeight="1" x14ac:dyDescent="0.2">
      <c r="A85" s="71">
        <v>70</v>
      </c>
      <c r="B85" s="85" t="s">
        <v>157</v>
      </c>
      <c r="C85" s="71">
        <v>1702</v>
      </c>
      <c r="D85" s="60">
        <v>1</v>
      </c>
      <c r="E85" s="97" t="s">
        <v>452</v>
      </c>
      <c r="F85" s="60"/>
      <c r="G85" s="60"/>
      <c r="H85" s="60">
        <v>21</v>
      </c>
      <c r="I85" s="98">
        <v>1</v>
      </c>
      <c r="J85" s="152">
        <v>52.65</v>
      </c>
      <c r="K85" s="75">
        <f t="shared" si="1"/>
        <v>1607.1</v>
      </c>
      <c r="L85" s="75">
        <f>1162.91-1.16</f>
        <v>1161.75</v>
      </c>
      <c r="M85" s="75">
        <f>450.08-6.96+2.23</f>
        <v>445.35</v>
      </c>
      <c r="N85" s="147">
        <v>5</v>
      </c>
      <c r="O85" s="77"/>
      <c r="P85" s="148"/>
      <c r="Q85" s="84"/>
      <c r="R85" s="80"/>
      <c r="S85" s="148"/>
      <c r="T85" s="148">
        <v>21</v>
      </c>
      <c r="U85" s="98">
        <v>114</v>
      </c>
      <c r="V85" s="146">
        <v>1242</v>
      </c>
      <c r="W85" s="137" t="s">
        <v>583</v>
      </c>
    </row>
    <row r="86" spans="1:23" s="70" customFormat="1" ht="26.45" customHeight="1" x14ac:dyDescent="0.2">
      <c r="A86" s="71">
        <v>71</v>
      </c>
      <c r="B86" s="61" t="s">
        <v>158</v>
      </c>
      <c r="C86" s="73" t="s">
        <v>159</v>
      </c>
      <c r="D86" s="60">
        <v>2</v>
      </c>
      <c r="E86" s="97" t="s">
        <v>160</v>
      </c>
      <c r="F86" s="60"/>
      <c r="G86" s="60"/>
      <c r="H86" s="60">
        <v>15</v>
      </c>
      <c r="I86" s="98">
        <v>1</v>
      </c>
      <c r="J86" s="60">
        <v>18.829999999999998</v>
      </c>
      <c r="K86" s="75">
        <f t="shared" si="1"/>
        <v>1019.5099999999999</v>
      </c>
      <c r="L86" s="75">
        <f>828.04+6.01-18.83-1.45-1.09-2.15</f>
        <v>810.52999999999986</v>
      </c>
      <c r="M86" s="75">
        <f>223.13-14.15</f>
        <v>208.98</v>
      </c>
      <c r="N86" s="147">
        <v>2</v>
      </c>
      <c r="O86" s="77"/>
      <c r="P86" s="148"/>
      <c r="Q86" s="84"/>
      <c r="R86" s="84" t="s">
        <v>403</v>
      </c>
      <c r="S86" s="148"/>
      <c r="T86" s="148">
        <v>21</v>
      </c>
      <c r="U86" s="98">
        <v>66</v>
      </c>
      <c r="V86" s="146">
        <v>673</v>
      </c>
      <c r="W86" s="137" t="s">
        <v>161</v>
      </c>
    </row>
    <row r="87" spans="1:23" ht="22.5" x14ac:dyDescent="0.2">
      <c r="A87" s="71">
        <v>72</v>
      </c>
      <c r="B87" s="61" t="s">
        <v>162</v>
      </c>
      <c r="C87" s="71"/>
      <c r="D87" s="60"/>
      <c r="E87" s="97"/>
      <c r="F87" s="60"/>
      <c r="G87" s="60"/>
      <c r="H87" s="78"/>
      <c r="I87" s="98"/>
      <c r="J87" s="60"/>
      <c r="K87" s="75"/>
      <c r="L87" s="75"/>
      <c r="M87" s="75"/>
      <c r="N87" s="147"/>
      <c r="O87" s="77">
        <v>30.5</v>
      </c>
      <c r="P87" s="148">
        <v>2</v>
      </c>
      <c r="Q87" s="84" t="s">
        <v>407</v>
      </c>
      <c r="R87" s="80"/>
      <c r="S87" s="148"/>
      <c r="T87" s="148">
        <v>22</v>
      </c>
      <c r="U87" s="98" t="s">
        <v>163</v>
      </c>
      <c r="V87" s="146">
        <v>37</v>
      </c>
      <c r="W87" s="137" t="s">
        <v>584</v>
      </c>
    </row>
    <row r="88" spans="1:23" ht="22.5" x14ac:dyDescent="0.2">
      <c r="A88" s="234">
        <v>73</v>
      </c>
      <c r="B88" s="61" t="s">
        <v>678</v>
      </c>
      <c r="C88" s="234">
        <v>1930</v>
      </c>
      <c r="D88" s="189">
        <v>1</v>
      </c>
      <c r="E88" s="234" t="s">
        <v>164</v>
      </c>
      <c r="F88" s="189"/>
      <c r="G88" s="189"/>
      <c r="H88" s="189">
        <v>10</v>
      </c>
      <c r="I88" s="189"/>
      <c r="J88" s="189"/>
      <c r="K88" s="191">
        <f>L88+M89</f>
        <v>598.03</v>
      </c>
      <c r="L88" s="213">
        <f>596.8-0.04+1.27</f>
        <v>598.03</v>
      </c>
      <c r="M88" s="191"/>
      <c r="N88" s="195"/>
      <c r="O88" s="191"/>
      <c r="P88" s="195"/>
      <c r="Q88" s="228"/>
      <c r="R88" s="230"/>
      <c r="S88" s="148"/>
      <c r="T88" s="232">
        <v>22</v>
      </c>
      <c r="U88" s="189">
        <v>307</v>
      </c>
      <c r="V88" s="207">
        <v>1390</v>
      </c>
      <c r="W88" s="205" t="s">
        <v>501</v>
      </c>
    </row>
    <row r="89" spans="1:23" customFormat="1" ht="24.6" customHeight="1" x14ac:dyDescent="0.2">
      <c r="A89" s="235"/>
      <c r="B89" s="85" t="s">
        <v>679</v>
      </c>
      <c r="C89" s="235"/>
      <c r="D89" s="190"/>
      <c r="E89" s="235"/>
      <c r="F89" s="190"/>
      <c r="G89" s="190"/>
      <c r="H89" s="190"/>
      <c r="I89" s="190"/>
      <c r="J89" s="190"/>
      <c r="K89" s="192"/>
      <c r="L89" s="214"/>
      <c r="M89" s="192"/>
      <c r="N89" s="196"/>
      <c r="O89" s="192"/>
      <c r="P89" s="196"/>
      <c r="Q89" s="229"/>
      <c r="R89" s="231"/>
      <c r="S89" s="90"/>
      <c r="T89" s="233"/>
      <c r="U89" s="190"/>
      <c r="V89" s="208"/>
      <c r="W89" s="206"/>
    </row>
    <row r="90" spans="1:23" s="151" customFormat="1" ht="22.5" x14ac:dyDescent="0.2">
      <c r="A90" s="71">
        <v>74</v>
      </c>
      <c r="B90" s="85" t="s">
        <v>165</v>
      </c>
      <c r="C90" s="71">
        <v>1880</v>
      </c>
      <c r="D90" s="60">
        <v>2</v>
      </c>
      <c r="E90" s="97" t="s">
        <v>166</v>
      </c>
      <c r="F90" s="60"/>
      <c r="G90" s="60"/>
      <c r="H90" s="60">
        <f>20-1</f>
        <v>19</v>
      </c>
      <c r="I90" s="98">
        <f>3+1-3</f>
        <v>1</v>
      </c>
      <c r="J90" s="152">
        <f>62.69+10.6-62.69</f>
        <v>10.599999999999994</v>
      </c>
      <c r="K90" s="75">
        <f t="shared" si="1"/>
        <v>1322.76</v>
      </c>
      <c r="L90" s="75">
        <f>951.82-0.12-1.47-10.6</f>
        <v>939.63</v>
      </c>
      <c r="M90" s="75">
        <v>383.13</v>
      </c>
      <c r="N90" s="147">
        <v>2</v>
      </c>
      <c r="O90" s="77"/>
      <c r="P90" s="148"/>
      <c r="Q90" s="84"/>
      <c r="R90" s="84" t="s">
        <v>404</v>
      </c>
      <c r="S90" s="148"/>
      <c r="T90" s="148">
        <v>21</v>
      </c>
      <c r="U90" s="98" t="s">
        <v>664</v>
      </c>
      <c r="V90" s="146">
        <v>1088</v>
      </c>
      <c r="W90" s="137" t="s">
        <v>489</v>
      </c>
    </row>
    <row r="91" spans="1:23" s="70" customFormat="1" ht="22.5" x14ac:dyDescent="0.2">
      <c r="A91" s="71">
        <v>75</v>
      </c>
      <c r="B91" s="85" t="s">
        <v>167</v>
      </c>
      <c r="C91" s="71" t="s">
        <v>168</v>
      </c>
      <c r="D91" s="60">
        <v>2</v>
      </c>
      <c r="E91" s="97" t="s">
        <v>169</v>
      </c>
      <c r="F91" s="60"/>
      <c r="G91" s="60"/>
      <c r="H91" s="60">
        <f>10-1-1</f>
        <v>8</v>
      </c>
      <c r="I91" s="98">
        <f>4+1</f>
        <v>5</v>
      </c>
      <c r="J91" s="76">
        <f>143.16+41.09</f>
        <v>184.25</v>
      </c>
      <c r="K91" s="75">
        <f t="shared" si="1"/>
        <v>918.7</v>
      </c>
      <c r="L91" s="75">
        <f>739.55-41.09-1.92-95.67</f>
        <v>600.87</v>
      </c>
      <c r="M91" s="75">
        <f>402.23-84.4</f>
        <v>317.83000000000004</v>
      </c>
      <c r="N91" s="147">
        <v>5</v>
      </c>
      <c r="O91" s="77"/>
      <c r="P91" s="148"/>
      <c r="Q91" s="84"/>
      <c r="R91" s="84" t="s">
        <v>405</v>
      </c>
      <c r="S91" s="148" t="s">
        <v>408</v>
      </c>
      <c r="T91" s="148">
        <v>22</v>
      </c>
      <c r="U91" s="98" t="s">
        <v>170</v>
      </c>
      <c r="V91" s="146">
        <v>883</v>
      </c>
      <c r="W91" s="137" t="s">
        <v>585</v>
      </c>
    </row>
    <row r="92" spans="1:23" s="70" customFormat="1" ht="44.45" customHeight="1" x14ac:dyDescent="0.2">
      <c r="A92" s="71">
        <v>76</v>
      </c>
      <c r="B92" s="85" t="s">
        <v>171</v>
      </c>
      <c r="C92" s="71" t="s">
        <v>172</v>
      </c>
      <c r="D92" s="60">
        <v>3</v>
      </c>
      <c r="E92" s="97" t="s">
        <v>173</v>
      </c>
      <c r="F92" s="60"/>
      <c r="G92" s="60"/>
      <c r="H92" s="60">
        <f>18-1</f>
        <v>17</v>
      </c>
      <c r="I92" s="98">
        <v>1</v>
      </c>
      <c r="J92" s="60">
        <v>16.829999999999998</v>
      </c>
      <c r="K92" s="75">
        <f t="shared" si="1"/>
        <v>890.67</v>
      </c>
      <c r="L92" s="75">
        <f>780.29-16.83</f>
        <v>763.45999999999992</v>
      </c>
      <c r="M92" s="75">
        <v>127.21</v>
      </c>
      <c r="N92" s="147">
        <v>1</v>
      </c>
      <c r="O92" s="77"/>
      <c r="P92" s="148"/>
      <c r="Q92" s="84"/>
      <c r="R92" s="80" t="s">
        <v>406</v>
      </c>
      <c r="S92" s="148"/>
      <c r="T92" s="148">
        <v>22</v>
      </c>
      <c r="U92" s="98" t="s">
        <v>174</v>
      </c>
      <c r="V92" s="146">
        <v>909</v>
      </c>
      <c r="W92" s="137" t="s">
        <v>586</v>
      </c>
    </row>
    <row r="93" spans="1:23" s="5" customFormat="1" ht="19.149999999999999" customHeight="1" x14ac:dyDescent="0.2">
      <c r="A93" s="159">
        <v>77</v>
      </c>
      <c r="B93" s="85" t="s">
        <v>175</v>
      </c>
      <c r="C93" s="71">
        <v>1960</v>
      </c>
      <c r="D93" s="60"/>
      <c r="E93" s="98"/>
      <c r="F93" s="60">
        <v>1</v>
      </c>
      <c r="G93" s="85" t="s">
        <v>409</v>
      </c>
      <c r="H93" s="60"/>
      <c r="I93" s="98"/>
      <c r="J93" s="60"/>
      <c r="K93" s="75">
        <f t="shared" si="1"/>
        <v>671.05</v>
      </c>
      <c r="L93" s="75"/>
      <c r="M93" s="75">
        <f>735.17-64.12</f>
        <v>671.05</v>
      </c>
      <c r="N93" s="147">
        <v>2</v>
      </c>
      <c r="O93" s="77"/>
      <c r="P93" s="148"/>
      <c r="Q93" s="84"/>
      <c r="R93" s="80"/>
      <c r="S93" s="148"/>
      <c r="T93" s="164">
        <v>22</v>
      </c>
      <c r="U93" s="209" t="s">
        <v>176</v>
      </c>
      <c r="V93" s="161">
        <v>946</v>
      </c>
      <c r="W93" s="175" t="s">
        <v>587</v>
      </c>
    </row>
    <row r="94" spans="1:23" ht="22.5" x14ac:dyDescent="0.2">
      <c r="A94" s="159"/>
      <c r="B94" s="85" t="s">
        <v>177</v>
      </c>
      <c r="C94" s="71">
        <v>1970</v>
      </c>
      <c r="D94" s="60"/>
      <c r="E94" s="98"/>
      <c r="F94" s="60">
        <v>2</v>
      </c>
      <c r="G94" s="85" t="s">
        <v>178</v>
      </c>
      <c r="H94" s="60"/>
      <c r="I94" s="98"/>
      <c r="J94" s="60"/>
      <c r="K94" s="75">
        <f t="shared" si="1"/>
        <v>61.18</v>
      </c>
      <c r="L94" s="75"/>
      <c r="M94" s="75">
        <v>61.18</v>
      </c>
      <c r="N94" s="147">
        <v>3</v>
      </c>
      <c r="O94" s="77"/>
      <c r="P94" s="148"/>
      <c r="Q94" s="84"/>
      <c r="R94" s="80"/>
      <c r="S94" s="148"/>
      <c r="T94" s="165"/>
      <c r="U94" s="209"/>
      <c r="V94" s="160"/>
      <c r="W94" s="175"/>
    </row>
    <row r="95" spans="1:23" s="70" customFormat="1" ht="22.5" x14ac:dyDescent="0.2">
      <c r="A95" s="159">
        <v>78</v>
      </c>
      <c r="B95" s="178" t="s">
        <v>179</v>
      </c>
      <c r="C95" s="71" t="s">
        <v>180</v>
      </c>
      <c r="D95" s="60">
        <v>2</v>
      </c>
      <c r="E95" s="97" t="s">
        <v>181</v>
      </c>
      <c r="F95" s="60"/>
      <c r="G95" s="60"/>
      <c r="H95" s="60">
        <v>7</v>
      </c>
      <c r="I95" s="98">
        <v>1</v>
      </c>
      <c r="J95" s="60">
        <v>32.92</v>
      </c>
      <c r="K95" s="75">
        <f t="shared" si="1"/>
        <v>334.93999999999994</v>
      </c>
      <c r="L95" s="75">
        <f>340.03-3.91-1.18</f>
        <v>334.93999999999994</v>
      </c>
      <c r="M95" s="75"/>
      <c r="N95" s="147"/>
      <c r="O95" s="77"/>
      <c r="P95" s="148"/>
      <c r="Q95" s="84"/>
      <c r="R95" s="80"/>
      <c r="S95" s="148"/>
      <c r="T95" s="164">
        <v>22</v>
      </c>
      <c r="U95" s="167" t="s">
        <v>182</v>
      </c>
      <c r="V95" s="160">
        <v>1631</v>
      </c>
      <c r="W95" s="175" t="s">
        <v>588</v>
      </c>
    </row>
    <row r="96" spans="1:23" s="70" customFormat="1" ht="45.6" customHeight="1" x14ac:dyDescent="0.2">
      <c r="A96" s="159"/>
      <c r="B96" s="178"/>
      <c r="C96" s="71" t="s">
        <v>183</v>
      </c>
      <c r="D96" s="149"/>
      <c r="E96" s="98"/>
      <c r="F96" s="60">
        <v>2</v>
      </c>
      <c r="G96" s="85" t="s">
        <v>184</v>
      </c>
      <c r="H96" s="60"/>
      <c r="I96" s="98"/>
      <c r="J96" s="60"/>
      <c r="K96" s="75">
        <f t="shared" si="1"/>
        <v>103.42000000000002</v>
      </c>
      <c r="L96" s="75"/>
      <c r="M96" s="75">
        <v>103.42000000000002</v>
      </c>
      <c r="N96" s="147">
        <v>1</v>
      </c>
      <c r="O96" s="77">
        <v>16</v>
      </c>
      <c r="P96" s="148">
        <v>1</v>
      </c>
      <c r="Q96" s="84" t="s">
        <v>410</v>
      </c>
      <c r="R96" s="84" t="s">
        <v>533</v>
      </c>
      <c r="S96" s="148"/>
      <c r="T96" s="165"/>
      <c r="U96" s="167"/>
      <c r="V96" s="160"/>
      <c r="W96" s="175"/>
    </row>
    <row r="97" spans="1:34" s="70" customFormat="1" ht="34.9" customHeight="1" x14ac:dyDescent="0.2">
      <c r="A97" s="71">
        <v>79</v>
      </c>
      <c r="B97" s="85" t="s">
        <v>185</v>
      </c>
      <c r="C97" s="71" t="s">
        <v>186</v>
      </c>
      <c r="D97" s="60">
        <v>2</v>
      </c>
      <c r="E97" s="97" t="s">
        <v>187</v>
      </c>
      <c r="F97" s="60"/>
      <c r="G97" s="60"/>
      <c r="H97" s="60">
        <v>11</v>
      </c>
      <c r="I97" s="98">
        <v>2</v>
      </c>
      <c r="J97" s="60">
        <v>72.990000000000009</v>
      </c>
      <c r="K97" s="75">
        <f t="shared" si="1"/>
        <v>488.43</v>
      </c>
      <c r="L97" s="75">
        <f>497.62-7.56-1.63</f>
        <v>488.43</v>
      </c>
      <c r="M97" s="75"/>
      <c r="N97" s="147"/>
      <c r="O97" s="77"/>
      <c r="P97" s="148"/>
      <c r="Q97" s="84"/>
      <c r="R97" s="80" t="s">
        <v>411</v>
      </c>
      <c r="S97" s="148" t="s">
        <v>412</v>
      </c>
      <c r="T97" s="148">
        <v>23</v>
      </c>
      <c r="U97" s="98">
        <v>100</v>
      </c>
      <c r="V97" s="146">
        <v>3114</v>
      </c>
      <c r="W97" s="137" t="s">
        <v>589</v>
      </c>
    </row>
    <row r="98" spans="1:34" customFormat="1" ht="66" customHeight="1" x14ac:dyDescent="0.2">
      <c r="A98" s="71">
        <v>80</v>
      </c>
      <c r="B98" s="85" t="s">
        <v>188</v>
      </c>
      <c r="C98" s="71" t="s">
        <v>189</v>
      </c>
      <c r="D98" s="60">
        <v>3</v>
      </c>
      <c r="E98" s="97" t="s">
        <v>190</v>
      </c>
      <c r="F98" s="60"/>
      <c r="G98" s="60"/>
      <c r="H98" s="60">
        <v>14</v>
      </c>
      <c r="I98" s="98"/>
      <c r="J98" s="60"/>
      <c r="K98" s="75">
        <f t="shared" si="1"/>
        <v>839.76999999999987</v>
      </c>
      <c r="L98" s="75">
        <f>756.39+0.66-1.36-3.11-0.09</f>
        <v>752.4899999999999</v>
      </c>
      <c r="M98" s="75">
        <f>88.64-1.36</f>
        <v>87.28</v>
      </c>
      <c r="N98" s="147">
        <v>1</v>
      </c>
      <c r="O98" s="77">
        <v>67.2</v>
      </c>
      <c r="P98" s="148">
        <v>4</v>
      </c>
      <c r="Q98" s="84" t="s">
        <v>641</v>
      </c>
      <c r="R98" s="84" t="s">
        <v>534</v>
      </c>
      <c r="S98" s="148"/>
      <c r="T98" s="148">
        <v>23</v>
      </c>
      <c r="U98" s="98" t="s">
        <v>191</v>
      </c>
      <c r="V98" s="146">
        <v>1265</v>
      </c>
      <c r="W98" s="137" t="s">
        <v>590</v>
      </c>
    </row>
    <row r="99" spans="1:34" s="87" customFormat="1" ht="16.149999999999999" customHeight="1" x14ac:dyDescent="0.2">
      <c r="A99" s="71">
        <v>81</v>
      </c>
      <c r="B99" s="85" t="s">
        <v>192</v>
      </c>
      <c r="C99" s="71">
        <v>1930</v>
      </c>
      <c r="D99" s="60">
        <v>1</v>
      </c>
      <c r="E99" s="97" t="s">
        <v>193</v>
      </c>
      <c r="F99" s="60"/>
      <c r="G99" s="60"/>
      <c r="H99" s="60">
        <v>9</v>
      </c>
      <c r="I99" s="98"/>
      <c r="J99" s="60"/>
      <c r="K99" s="75">
        <f t="shared" si="1"/>
        <v>345.34000000000009</v>
      </c>
      <c r="L99" s="75">
        <f>344.3+1.22+0.01-0.65-0.09+0.55</f>
        <v>345.34000000000009</v>
      </c>
      <c r="M99" s="75"/>
      <c r="N99" s="147"/>
      <c r="O99" s="77"/>
      <c r="P99" s="148"/>
      <c r="Q99" s="84"/>
      <c r="R99" s="80" t="s">
        <v>413</v>
      </c>
      <c r="S99" s="148"/>
      <c r="T99" s="105">
        <v>32</v>
      </c>
      <c r="U99" s="100" t="s">
        <v>194</v>
      </c>
      <c r="V99" s="101">
        <v>597</v>
      </c>
      <c r="W99" s="138" t="s">
        <v>591</v>
      </c>
    </row>
    <row r="100" spans="1:34" s="70" customFormat="1" ht="29.25" x14ac:dyDescent="0.2">
      <c r="A100" s="71">
        <v>82</v>
      </c>
      <c r="B100" s="85" t="s">
        <v>195</v>
      </c>
      <c r="C100" s="71">
        <v>1880</v>
      </c>
      <c r="D100" s="60">
        <v>1</v>
      </c>
      <c r="E100" s="97" t="s">
        <v>196</v>
      </c>
      <c r="F100" s="60"/>
      <c r="G100" s="60"/>
      <c r="H100" s="60">
        <v>6</v>
      </c>
      <c r="I100" s="98"/>
      <c r="J100" s="60"/>
      <c r="K100" s="75">
        <f t="shared" si="1"/>
        <v>222</v>
      </c>
      <c r="L100" s="75">
        <f>222.34-0.34</f>
        <v>222</v>
      </c>
      <c r="M100" s="75"/>
      <c r="N100" s="147"/>
      <c r="O100" s="77"/>
      <c r="P100" s="148"/>
      <c r="Q100" s="84"/>
      <c r="R100" s="96"/>
      <c r="S100" s="148" t="s">
        <v>415</v>
      </c>
      <c r="T100" s="148">
        <v>32</v>
      </c>
      <c r="U100" s="98">
        <v>169</v>
      </c>
      <c r="V100" s="146">
        <v>952</v>
      </c>
      <c r="W100" s="137" t="s">
        <v>685</v>
      </c>
    </row>
    <row r="101" spans="1:34" x14ac:dyDescent="0.2">
      <c r="A101" s="234">
        <v>83</v>
      </c>
      <c r="B101" s="236" t="s">
        <v>197</v>
      </c>
      <c r="C101" s="71">
        <v>1880</v>
      </c>
      <c r="D101" s="60">
        <v>1</v>
      </c>
      <c r="E101" s="97"/>
      <c r="F101" s="60"/>
      <c r="G101" s="60"/>
      <c r="H101" s="60">
        <v>6</v>
      </c>
      <c r="I101" s="98"/>
      <c r="J101" s="60"/>
      <c r="K101" s="75">
        <v>443.65</v>
      </c>
      <c r="L101" s="75">
        <v>355.18</v>
      </c>
      <c r="M101" s="75">
        <v>88.47</v>
      </c>
      <c r="N101" s="147">
        <v>3</v>
      </c>
      <c r="O101" s="77"/>
      <c r="P101" s="148"/>
      <c r="Q101" s="84"/>
      <c r="R101" s="96"/>
      <c r="S101" s="148"/>
      <c r="T101" s="125"/>
      <c r="U101" s="98" t="s">
        <v>662</v>
      </c>
      <c r="V101" s="146">
        <f>1541-988</f>
        <v>553</v>
      </c>
      <c r="W101" s="137" t="s">
        <v>592</v>
      </c>
    </row>
    <row r="102" spans="1:34" customFormat="1" ht="36" customHeight="1" x14ac:dyDescent="0.2">
      <c r="A102" s="235"/>
      <c r="B102" s="237"/>
      <c r="C102" s="71">
        <v>1880</v>
      </c>
      <c r="D102" s="60"/>
      <c r="E102" s="97" t="s">
        <v>637</v>
      </c>
      <c r="F102" s="60"/>
      <c r="G102" s="60"/>
      <c r="H102" s="60">
        <v>0</v>
      </c>
      <c r="I102" s="98"/>
      <c r="J102" s="60"/>
      <c r="K102" s="75">
        <f t="shared" si="1"/>
        <v>0</v>
      </c>
      <c r="L102" s="75">
        <f>313.21-37.57-29.21-40.96-24.78-17.26-54.62-35.49-73.32</f>
        <v>0</v>
      </c>
      <c r="M102" s="75">
        <f>99.6-48.4-51.2</f>
        <v>0</v>
      </c>
      <c r="N102" s="147">
        <f>2-2</f>
        <v>0</v>
      </c>
      <c r="O102" s="77">
        <v>0</v>
      </c>
      <c r="P102" s="148">
        <v>0</v>
      </c>
      <c r="Q102" s="84" t="s">
        <v>414</v>
      </c>
      <c r="R102" s="84" t="s">
        <v>536</v>
      </c>
      <c r="S102" s="148"/>
      <c r="T102" s="125">
        <v>21</v>
      </c>
      <c r="U102" s="98" t="s">
        <v>666</v>
      </c>
      <c r="V102" s="146">
        <v>93</v>
      </c>
      <c r="W102" s="137" t="s">
        <v>592</v>
      </c>
    </row>
    <row r="103" spans="1:34" s="70" customFormat="1" ht="33.75" x14ac:dyDescent="0.2">
      <c r="A103" s="71">
        <v>84</v>
      </c>
      <c r="B103" s="85" t="s">
        <v>198</v>
      </c>
      <c r="C103" s="71" t="s">
        <v>199</v>
      </c>
      <c r="D103" s="60">
        <v>3</v>
      </c>
      <c r="E103" s="97" t="s">
        <v>200</v>
      </c>
      <c r="F103" s="60"/>
      <c r="G103" s="60"/>
      <c r="H103" s="60">
        <v>11</v>
      </c>
      <c r="I103" s="98">
        <v>14</v>
      </c>
      <c r="J103" s="60">
        <v>429.59</v>
      </c>
      <c r="K103" s="75">
        <f t="shared" si="1"/>
        <v>621.98</v>
      </c>
      <c r="L103" s="75">
        <f>493.27+3.68-2.37</f>
        <v>494.58</v>
      </c>
      <c r="M103" s="75">
        <v>127.4</v>
      </c>
      <c r="N103" s="147">
        <v>3</v>
      </c>
      <c r="O103" s="77"/>
      <c r="P103" s="148"/>
      <c r="Q103" s="84"/>
      <c r="R103" s="80"/>
      <c r="S103" s="148"/>
      <c r="T103" s="148">
        <v>21</v>
      </c>
      <c r="U103" s="98">
        <v>130</v>
      </c>
      <c r="V103" s="146">
        <v>888</v>
      </c>
      <c r="W103" s="137" t="s">
        <v>593</v>
      </c>
    </row>
    <row r="104" spans="1:34" s="79" customFormat="1" ht="22.9" customHeight="1" x14ac:dyDescent="0.2">
      <c r="A104" s="71">
        <v>85</v>
      </c>
      <c r="B104" s="85" t="s">
        <v>201</v>
      </c>
      <c r="C104" s="71">
        <v>1870</v>
      </c>
      <c r="D104" s="60">
        <v>1</v>
      </c>
      <c r="E104" s="97" t="s">
        <v>202</v>
      </c>
      <c r="F104" s="60"/>
      <c r="G104" s="60"/>
      <c r="H104" s="60">
        <f>5-1-1-3</f>
        <v>0</v>
      </c>
      <c r="I104" s="98">
        <f>1+1+1+3</f>
        <v>6</v>
      </c>
      <c r="J104" s="60">
        <f>19.14+15.97+38.56-0.05+112.83</f>
        <v>186.45</v>
      </c>
      <c r="K104" s="75">
        <f t="shared" si="1"/>
        <v>71.490000000000009</v>
      </c>
      <c r="L104" s="75">
        <f>167.36-15.97-38.56-112.83</f>
        <v>0</v>
      </c>
      <c r="M104" s="75">
        <f>88.29-16.8</f>
        <v>71.490000000000009</v>
      </c>
      <c r="N104" s="147">
        <f>3-1</f>
        <v>2</v>
      </c>
      <c r="O104" s="77"/>
      <c r="P104" s="148"/>
      <c r="Q104" s="148"/>
      <c r="R104" s="80" t="s">
        <v>462</v>
      </c>
      <c r="S104" s="148"/>
      <c r="T104" s="148">
        <v>21</v>
      </c>
      <c r="U104" s="98">
        <v>131</v>
      </c>
      <c r="V104" s="146">
        <v>403</v>
      </c>
      <c r="W104" s="137" t="s">
        <v>594</v>
      </c>
    </row>
    <row r="105" spans="1:34" s="70" customFormat="1" ht="39" x14ac:dyDescent="0.2">
      <c r="A105" s="71">
        <v>86</v>
      </c>
      <c r="B105" s="85" t="s">
        <v>203</v>
      </c>
      <c r="C105" s="71" t="s">
        <v>204</v>
      </c>
      <c r="D105" s="60">
        <v>2</v>
      </c>
      <c r="E105" s="97" t="s">
        <v>205</v>
      </c>
      <c r="F105" s="60"/>
      <c r="G105" s="60"/>
      <c r="H105" s="60">
        <f>6-1-1-1-1</f>
        <v>2</v>
      </c>
      <c r="I105" s="98">
        <f>4+1+1+1+1</f>
        <v>8</v>
      </c>
      <c r="J105" s="60">
        <f>70.55+33.5+30+30.13+9.06+32.85+32.14</f>
        <v>238.23000000000002</v>
      </c>
      <c r="K105" s="75">
        <f t="shared" si="1"/>
        <v>119.01000000000003</v>
      </c>
      <c r="L105" s="75">
        <f>285.97-33.5-30+0.72-30.13-9.06-32.85-32.14</f>
        <v>119.01000000000003</v>
      </c>
      <c r="M105" s="75"/>
      <c r="N105" s="147"/>
      <c r="O105" s="77"/>
      <c r="P105" s="148"/>
      <c r="Q105" s="84"/>
      <c r="R105" s="84" t="s">
        <v>416</v>
      </c>
      <c r="S105" s="148"/>
      <c r="T105" s="148">
        <v>21</v>
      </c>
      <c r="U105" s="98" t="s">
        <v>206</v>
      </c>
      <c r="V105" s="146">
        <v>762</v>
      </c>
      <c r="W105" s="137" t="s">
        <v>686</v>
      </c>
    </row>
    <row r="106" spans="1:34" s="70" customFormat="1" ht="43.9" customHeight="1" x14ac:dyDescent="0.2">
      <c r="A106" s="71">
        <v>87</v>
      </c>
      <c r="B106" s="85" t="s">
        <v>207</v>
      </c>
      <c r="C106" s="71">
        <v>1895</v>
      </c>
      <c r="D106" s="60">
        <v>1</v>
      </c>
      <c r="E106" s="97" t="s">
        <v>208</v>
      </c>
      <c r="F106" s="60"/>
      <c r="G106" s="60"/>
      <c r="H106" s="60">
        <f>4-1-1-1-1</f>
        <v>0</v>
      </c>
      <c r="I106" s="98">
        <f>1+1+1+1</f>
        <v>4</v>
      </c>
      <c r="J106" s="60">
        <f>28.6+82.56+26.36</f>
        <v>137.51999999999998</v>
      </c>
      <c r="K106" s="75">
        <f t="shared" si="1"/>
        <v>0</v>
      </c>
      <c r="L106" s="75">
        <f>108.92-82.56-26.36</f>
        <v>0</v>
      </c>
      <c r="M106" s="75"/>
      <c r="N106" s="147"/>
      <c r="O106" s="77">
        <v>44</v>
      </c>
      <c r="P106" s="148">
        <v>3</v>
      </c>
      <c r="Q106" s="84" t="s">
        <v>417</v>
      </c>
      <c r="R106" s="80" t="s">
        <v>535</v>
      </c>
      <c r="S106" s="148"/>
      <c r="T106" s="148">
        <v>21</v>
      </c>
      <c r="U106" s="98" t="s">
        <v>209</v>
      </c>
      <c r="V106" s="146">
        <v>641</v>
      </c>
      <c r="W106" s="137" t="s">
        <v>595</v>
      </c>
    </row>
    <row r="107" spans="1:34" ht="22.5" x14ac:dyDescent="0.2">
      <c r="A107" s="71">
        <v>88</v>
      </c>
      <c r="B107" s="85" t="s">
        <v>210</v>
      </c>
      <c r="C107" s="71"/>
      <c r="D107" s="60"/>
      <c r="E107" s="97"/>
      <c r="F107" s="60"/>
      <c r="G107" s="60"/>
      <c r="H107" s="60"/>
      <c r="I107" s="98"/>
      <c r="J107" s="60"/>
      <c r="K107" s="75">
        <f t="shared" si="1"/>
        <v>0</v>
      </c>
      <c r="L107" s="75"/>
      <c r="M107" s="75"/>
      <c r="N107" s="147"/>
      <c r="O107" s="77">
        <v>12</v>
      </c>
      <c r="P107" s="148">
        <v>1</v>
      </c>
      <c r="Q107" s="84" t="s">
        <v>418</v>
      </c>
      <c r="R107" s="80"/>
      <c r="S107" s="148"/>
      <c r="T107" s="148">
        <v>21</v>
      </c>
      <c r="U107" s="98" t="s">
        <v>687</v>
      </c>
      <c r="V107" s="146">
        <v>1698</v>
      </c>
      <c r="W107" s="137" t="s">
        <v>596</v>
      </c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1:34" s="70" customFormat="1" ht="35.450000000000003" customHeight="1" x14ac:dyDescent="0.2">
      <c r="A108" s="71">
        <v>89</v>
      </c>
      <c r="B108" s="85" t="s">
        <v>211</v>
      </c>
      <c r="C108" s="71" t="s">
        <v>212</v>
      </c>
      <c r="D108" s="60">
        <v>3</v>
      </c>
      <c r="E108" s="97" t="s">
        <v>213</v>
      </c>
      <c r="F108" s="60"/>
      <c r="G108" s="60"/>
      <c r="H108" s="60">
        <f>5-1-1-1-1-1</f>
        <v>0</v>
      </c>
      <c r="I108" s="98">
        <f>15+1+1+1</f>
        <v>18</v>
      </c>
      <c r="J108" s="60">
        <f>295.43+74.19+35.34+31.12+45.6+49.27+50.95+31.38+55.53+75.23</f>
        <v>744.04000000000008</v>
      </c>
      <c r="K108" s="75">
        <f t="shared" si="1"/>
        <v>0</v>
      </c>
      <c r="L108" s="75">
        <f>448.61-74.19-35.34-31.12-45.6-49.27-50.95-31.38-55.53-75.23</f>
        <v>0</v>
      </c>
      <c r="M108" s="75"/>
      <c r="N108" s="147"/>
      <c r="O108" s="77">
        <f>66.92-15</f>
        <v>51.92</v>
      </c>
      <c r="P108" s="148">
        <f>4-1</f>
        <v>3</v>
      </c>
      <c r="Q108" s="84" t="s">
        <v>657</v>
      </c>
      <c r="R108" s="80" t="s">
        <v>519</v>
      </c>
      <c r="S108" s="148"/>
      <c r="T108" s="148">
        <v>21</v>
      </c>
      <c r="U108" s="98">
        <v>191</v>
      </c>
      <c r="V108" s="146">
        <v>1344</v>
      </c>
      <c r="W108" s="137" t="s">
        <v>688</v>
      </c>
    </row>
    <row r="109" spans="1:34" s="87" customFormat="1" ht="33.75" x14ac:dyDescent="0.2">
      <c r="A109" s="71">
        <v>90</v>
      </c>
      <c r="B109" s="85" t="s">
        <v>214</v>
      </c>
      <c r="C109" s="71" t="s">
        <v>204</v>
      </c>
      <c r="D109" s="60">
        <v>2</v>
      </c>
      <c r="E109" s="97" t="s">
        <v>419</v>
      </c>
      <c r="F109" s="60"/>
      <c r="G109" s="60"/>
      <c r="H109" s="60">
        <f>19-1</f>
        <v>18</v>
      </c>
      <c r="I109" s="98">
        <v>1</v>
      </c>
      <c r="J109" s="60">
        <v>19.440000000000001</v>
      </c>
      <c r="K109" s="75">
        <f t="shared" si="1"/>
        <v>794.59</v>
      </c>
      <c r="L109" s="75">
        <f>808.19-0.56-0.1+8.66-4.56-32.89+0.9-19.44</f>
        <v>760.2</v>
      </c>
      <c r="M109" s="75">
        <v>34.39</v>
      </c>
      <c r="N109" s="147">
        <v>2</v>
      </c>
      <c r="O109" s="77"/>
      <c r="P109" s="148"/>
      <c r="Q109" s="84"/>
      <c r="R109" s="84" t="s">
        <v>420</v>
      </c>
      <c r="S109" s="148"/>
      <c r="T109" s="105">
        <v>22</v>
      </c>
      <c r="U109" s="100">
        <v>131</v>
      </c>
      <c r="V109" s="101">
        <v>624</v>
      </c>
      <c r="W109" s="138" t="s">
        <v>597</v>
      </c>
    </row>
    <row r="110" spans="1:34" s="70" customFormat="1" ht="33.75" x14ac:dyDescent="0.2">
      <c r="A110" s="159">
        <v>91</v>
      </c>
      <c r="B110" s="85" t="s">
        <v>215</v>
      </c>
      <c r="C110" s="71">
        <v>1900</v>
      </c>
      <c r="D110" s="60">
        <v>1</v>
      </c>
      <c r="E110" s="97" t="s">
        <v>216</v>
      </c>
      <c r="F110" s="60"/>
      <c r="G110" s="60"/>
      <c r="H110" s="60">
        <v>27</v>
      </c>
      <c r="I110" s="98"/>
      <c r="J110" s="60"/>
      <c r="K110" s="75">
        <f t="shared" si="1"/>
        <v>923.87999999999988</v>
      </c>
      <c r="L110" s="75">
        <f>907.53+2.02+4.78+0.18-0.2+9.57</f>
        <v>923.87999999999988</v>
      </c>
      <c r="M110" s="75"/>
      <c r="N110" s="147"/>
      <c r="O110" s="77">
        <f>18.15+17.08+16.53</f>
        <v>51.76</v>
      </c>
      <c r="P110" s="148">
        <f>2+1</f>
        <v>3</v>
      </c>
      <c r="Q110" s="84" t="s">
        <v>515</v>
      </c>
      <c r="R110" s="84" t="s">
        <v>421</v>
      </c>
      <c r="S110" s="148"/>
      <c r="T110" s="148">
        <v>20</v>
      </c>
      <c r="U110" s="98" t="s">
        <v>667</v>
      </c>
      <c r="V110" s="101">
        <v>7628</v>
      </c>
      <c r="W110" s="138" t="s">
        <v>598</v>
      </c>
    </row>
    <row r="111" spans="1:34" s="70" customFormat="1" ht="35.450000000000003" customHeight="1" x14ac:dyDescent="0.2">
      <c r="A111" s="159"/>
      <c r="B111" s="85" t="s">
        <v>217</v>
      </c>
      <c r="C111" s="71">
        <v>1900</v>
      </c>
      <c r="D111" s="60">
        <v>1</v>
      </c>
      <c r="E111" s="97" t="s">
        <v>218</v>
      </c>
      <c r="F111" s="60"/>
      <c r="G111" s="60"/>
      <c r="H111" s="60">
        <v>28</v>
      </c>
      <c r="I111" s="98"/>
      <c r="J111" s="60"/>
      <c r="K111" s="75">
        <f t="shared" si="1"/>
        <v>931.81999999999994</v>
      </c>
      <c r="L111" s="75">
        <f>922.24+0.65+8.93</f>
        <v>931.81999999999994</v>
      </c>
      <c r="M111" s="75"/>
      <c r="N111" s="147"/>
      <c r="O111" s="77"/>
      <c r="P111" s="148"/>
      <c r="Q111" s="84" t="s">
        <v>516</v>
      </c>
      <c r="R111" s="84" t="s">
        <v>537</v>
      </c>
      <c r="S111" s="148"/>
      <c r="T111" s="148">
        <v>20</v>
      </c>
      <c r="U111" s="98" t="s">
        <v>668</v>
      </c>
      <c r="V111" s="101">
        <v>25</v>
      </c>
      <c r="W111" s="138" t="s">
        <v>669</v>
      </c>
    </row>
    <row r="112" spans="1:34" s="86" customFormat="1" ht="24.6" customHeight="1" x14ac:dyDescent="0.2">
      <c r="A112" s="71">
        <v>92</v>
      </c>
      <c r="B112" s="85" t="s">
        <v>219</v>
      </c>
      <c r="C112" s="71">
        <v>1930</v>
      </c>
      <c r="D112" s="60">
        <v>2</v>
      </c>
      <c r="E112" s="97" t="s">
        <v>220</v>
      </c>
      <c r="F112" s="60"/>
      <c r="G112" s="60"/>
      <c r="H112" s="60">
        <f>10-1-1-1-2</f>
        <v>5</v>
      </c>
      <c r="I112" s="98">
        <f>4+1+1+1+2</f>
        <v>9</v>
      </c>
      <c r="J112" s="60">
        <f>110.38+38.72+41.3+19.81+45.25</f>
        <v>255.45999999999998</v>
      </c>
      <c r="K112" s="75">
        <f t="shared" si="1"/>
        <v>120.03000000000003</v>
      </c>
      <c r="L112" s="75">
        <f>265.11-38.72-41.3-19.81-45.25</f>
        <v>120.03000000000003</v>
      </c>
      <c r="M112" s="75"/>
      <c r="N112" s="147"/>
      <c r="O112" s="77"/>
      <c r="P112" s="148"/>
      <c r="Q112" s="84"/>
      <c r="R112" s="80" t="s">
        <v>422</v>
      </c>
      <c r="S112" s="148"/>
      <c r="T112" s="105">
        <v>20</v>
      </c>
      <c r="U112" s="100" t="s">
        <v>221</v>
      </c>
      <c r="V112" s="101">
        <v>715</v>
      </c>
      <c r="W112" s="138" t="s">
        <v>599</v>
      </c>
    </row>
    <row r="113" spans="1:23" ht="22.5" x14ac:dyDescent="0.2">
      <c r="A113" s="159">
        <v>93</v>
      </c>
      <c r="B113" s="85" t="s">
        <v>222</v>
      </c>
      <c r="C113" s="71" t="s">
        <v>223</v>
      </c>
      <c r="D113" s="60">
        <v>2</v>
      </c>
      <c r="E113" s="97" t="s">
        <v>224</v>
      </c>
      <c r="F113" s="60"/>
      <c r="G113" s="60"/>
      <c r="H113" s="60">
        <v>7</v>
      </c>
      <c r="I113" s="98">
        <v>1</v>
      </c>
      <c r="J113" s="60">
        <v>38.6</v>
      </c>
      <c r="K113" s="75">
        <f t="shared" si="1"/>
        <v>331.59</v>
      </c>
      <c r="L113" s="75">
        <v>331.59</v>
      </c>
      <c r="M113" s="75"/>
      <c r="N113" s="147"/>
      <c r="O113" s="77"/>
      <c r="P113" s="148"/>
      <c r="Q113" s="84"/>
      <c r="R113" s="80"/>
      <c r="S113" s="148"/>
      <c r="T113" s="164">
        <v>19</v>
      </c>
      <c r="U113" s="238" t="s">
        <v>670</v>
      </c>
      <c r="V113" s="161">
        <v>3656</v>
      </c>
      <c r="W113" s="175" t="s">
        <v>600</v>
      </c>
    </row>
    <row r="114" spans="1:23" ht="16.899999999999999" customHeight="1" x14ac:dyDescent="0.2">
      <c r="A114" s="159"/>
      <c r="B114" s="85" t="s">
        <v>225</v>
      </c>
      <c r="C114" s="71">
        <v>1900</v>
      </c>
      <c r="D114" s="60">
        <v>1</v>
      </c>
      <c r="E114" s="97" t="s">
        <v>226</v>
      </c>
      <c r="F114" s="60"/>
      <c r="G114" s="60"/>
      <c r="H114" s="60">
        <v>4</v>
      </c>
      <c r="I114" s="98"/>
      <c r="J114" s="60"/>
      <c r="K114" s="75">
        <f t="shared" si="1"/>
        <v>142.76</v>
      </c>
      <c r="L114" s="75">
        <v>142.76</v>
      </c>
      <c r="M114" s="75"/>
      <c r="N114" s="147"/>
      <c r="O114" s="77"/>
      <c r="P114" s="148"/>
      <c r="Q114" s="84"/>
      <c r="R114" s="80"/>
      <c r="S114" s="148"/>
      <c r="T114" s="165"/>
      <c r="U114" s="238"/>
      <c r="V114" s="161"/>
      <c r="W114" s="175"/>
    </row>
    <row r="115" spans="1:23" customFormat="1" ht="19.149999999999999" customHeight="1" x14ac:dyDescent="0.2">
      <c r="A115" s="71">
        <v>94</v>
      </c>
      <c r="B115" s="85" t="s">
        <v>227</v>
      </c>
      <c r="C115" s="71">
        <v>1901</v>
      </c>
      <c r="D115" s="60">
        <v>1</v>
      </c>
      <c r="E115" s="97" t="s">
        <v>228</v>
      </c>
      <c r="F115" s="60"/>
      <c r="G115" s="60"/>
      <c r="H115" s="60">
        <v>4</v>
      </c>
      <c r="I115" s="98">
        <v>1</v>
      </c>
      <c r="J115" s="60">
        <v>27.14</v>
      </c>
      <c r="K115" s="75">
        <f t="shared" si="1"/>
        <v>141.02000000000001</v>
      </c>
      <c r="L115" s="75">
        <f>137.69+3.33</f>
        <v>141.02000000000001</v>
      </c>
      <c r="M115" s="75"/>
      <c r="N115" s="147"/>
      <c r="O115" s="77"/>
      <c r="P115" s="148"/>
      <c r="Q115" s="84"/>
      <c r="R115" s="80" t="s">
        <v>423</v>
      </c>
      <c r="S115" s="148"/>
      <c r="T115" s="148">
        <v>36</v>
      </c>
      <c r="U115" s="98">
        <v>14</v>
      </c>
      <c r="V115" s="146">
        <v>318</v>
      </c>
      <c r="W115" s="137" t="s">
        <v>601</v>
      </c>
    </row>
    <row r="116" spans="1:23" ht="16.899999999999999" customHeight="1" x14ac:dyDescent="0.2">
      <c r="A116" s="71">
        <v>95</v>
      </c>
      <c r="B116" s="85" t="s">
        <v>229</v>
      </c>
      <c r="C116" s="71">
        <v>1982</v>
      </c>
      <c r="D116" s="60">
        <v>1</v>
      </c>
      <c r="E116" s="97" t="s">
        <v>230</v>
      </c>
      <c r="F116" s="60"/>
      <c r="G116" s="60"/>
      <c r="H116" s="60">
        <v>30</v>
      </c>
      <c r="I116" s="98"/>
      <c r="J116" s="60"/>
      <c r="K116" s="75">
        <f t="shared" si="1"/>
        <v>1758.75</v>
      </c>
      <c r="L116" s="75">
        <v>1758.75</v>
      </c>
      <c r="M116" s="75"/>
      <c r="N116" s="147"/>
      <c r="O116" s="77"/>
      <c r="P116" s="148"/>
      <c r="Q116" s="84"/>
      <c r="R116" s="80"/>
      <c r="S116" s="148"/>
      <c r="T116" s="148">
        <v>30</v>
      </c>
      <c r="U116" s="98" t="s">
        <v>231</v>
      </c>
      <c r="V116" s="146">
        <v>1321</v>
      </c>
      <c r="W116" s="137" t="s">
        <v>602</v>
      </c>
    </row>
    <row r="117" spans="1:23" customFormat="1" ht="16.149999999999999" customHeight="1" x14ac:dyDescent="0.2">
      <c r="A117" s="71">
        <v>96</v>
      </c>
      <c r="B117" s="149" t="s">
        <v>724</v>
      </c>
      <c r="C117" s="97">
        <v>1900</v>
      </c>
      <c r="D117" s="71">
        <v>1</v>
      </c>
      <c r="E117" s="97" t="s">
        <v>638</v>
      </c>
      <c r="F117" s="148"/>
      <c r="G117" s="154"/>
      <c r="H117" s="154">
        <v>11</v>
      </c>
      <c r="I117" s="75"/>
      <c r="J117" s="75"/>
      <c r="K117" s="75">
        <f t="shared" si="1"/>
        <v>508.39</v>
      </c>
      <c r="L117" s="98">
        <f>511.86-0.02-3.48+0.03</f>
        <v>508.39</v>
      </c>
      <c r="M117" s="77"/>
      <c r="N117" s="76"/>
      <c r="O117" s="77"/>
      <c r="P117" s="95"/>
      <c r="Q117" s="97"/>
      <c r="R117" s="96"/>
      <c r="S117" s="104">
        <v>769</v>
      </c>
      <c r="T117" s="103">
        <v>14</v>
      </c>
      <c r="U117" s="98">
        <v>549</v>
      </c>
      <c r="V117" s="149">
        <v>769</v>
      </c>
      <c r="W117" s="156" t="s">
        <v>639</v>
      </c>
    </row>
    <row r="118" spans="1:23" customFormat="1" ht="33.75" x14ac:dyDescent="0.2">
      <c r="A118" s="71">
        <v>97</v>
      </c>
      <c r="B118" s="85" t="s">
        <v>725</v>
      </c>
      <c r="C118" s="71" t="s">
        <v>232</v>
      </c>
      <c r="D118" s="60">
        <v>2</v>
      </c>
      <c r="E118" s="97" t="s">
        <v>457</v>
      </c>
      <c r="F118" s="60"/>
      <c r="G118" s="60"/>
      <c r="H118" s="154">
        <v>19</v>
      </c>
      <c r="I118" s="148"/>
      <c r="J118" s="154"/>
      <c r="K118" s="75">
        <f t="shared" si="1"/>
        <v>923.2399999999999</v>
      </c>
      <c r="L118" s="75">
        <f>838.33+0.07+2.87-0.44-2.86-2.32-12.1</f>
        <v>823.55</v>
      </c>
      <c r="M118" s="75">
        <v>99.689999999999984</v>
      </c>
      <c r="N118" s="148">
        <v>4</v>
      </c>
      <c r="O118" s="77"/>
      <c r="P118" s="76"/>
      <c r="Q118" s="95"/>
      <c r="R118" s="95" t="s">
        <v>424</v>
      </c>
      <c r="S118" s="76"/>
      <c r="T118" s="98">
        <v>21</v>
      </c>
      <c r="U118" s="98">
        <v>154</v>
      </c>
      <c r="V118" s="104">
        <v>773</v>
      </c>
      <c r="W118" s="137" t="s">
        <v>603</v>
      </c>
    </row>
    <row r="119" spans="1:23" s="70" customFormat="1" ht="16.5" customHeight="1" x14ac:dyDescent="0.2">
      <c r="A119" s="71">
        <v>98</v>
      </c>
      <c r="B119" s="85" t="s">
        <v>726</v>
      </c>
      <c r="C119" s="71">
        <v>1955</v>
      </c>
      <c r="D119" s="60"/>
      <c r="E119" s="98"/>
      <c r="F119" s="60">
        <v>1</v>
      </c>
      <c r="G119" s="85" t="s">
        <v>233</v>
      </c>
      <c r="H119" s="60"/>
      <c r="I119" s="98"/>
      <c r="J119" s="60"/>
      <c r="K119" s="75">
        <f t="shared" si="1"/>
        <v>486.48</v>
      </c>
      <c r="L119" s="75"/>
      <c r="M119" s="75">
        <f>476.81+16.25-6.58</f>
        <v>486.48</v>
      </c>
      <c r="N119" s="147">
        <v>5</v>
      </c>
      <c r="O119" s="77"/>
      <c r="P119" s="148"/>
      <c r="Q119" s="84"/>
      <c r="R119" s="80"/>
      <c r="S119" s="148"/>
      <c r="T119" s="148">
        <v>22</v>
      </c>
      <c r="U119" s="146" t="s">
        <v>234</v>
      </c>
      <c r="V119" s="98">
        <v>1036</v>
      </c>
      <c r="W119" s="137" t="s">
        <v>604</v>
      </c>
    </row>
    <row r="120" spans="1:23" s="5" customFormat="1" ht="16.5" customHeight="1" x14ac:dyDescent="0.2">
      <c r="A120" s="239">
        <v>99</v>
      </c>
      <c r="B120" s="85" t="s">
        <v>727</v>
      </c>
      <c r="C120" s="71">
        <v>1910</v>
      </c>
      <c r="D120" s="60">
        <v>1</v>
      </c>
      <c r="E120" s="97" t="s">
        <v>425</v>
      </c>
      <c r="F120" s="60"/>
      <c r="G120" s="60"/>
      <c r="H120" s="60">
        <v>8</v>
      </c>
      <c r="I120" s="98"/>
      <c r="J120" s="60"/>
      <c r="K120" s="75">
        <f t="shared" si="1"/>
        <v>317.32000000000005</v>
      </c>
      <c r="L120" s="75">
        <f>316.66+0.66</f>
        <v>317.32000000000005</v>
      </c>
      <c r="M120" s="75"/>
      <c r="N120" s="147"/>
      <c r="O120" s="77">
        <v>15</v>
      </c>
      <c r="P120" s="148">
        <v>1</v>
      </c>
      <c r="Q120" s="84"/>
      <c r="R120" s="80"/>
      <c r="S120" s="148"/>
      <c r="T120" s="164">
        <v>14</v>
      </c>
      <c r="U120" s="161" t="s">
        <v>235</v>
      </c>
      <c r="V120" s="160">
        <v>1700</v>
      </c>
      <c r="W120" s="175" t="s">
        <v>605</v>
      </c>
    </row>
    <row r="121" spans="1:23" s="70" customFormat="1" ht="16.5" customHeight="1" x14ac:dyDescent="0.2">
      <c r="A121" s="239"/>
      <c r="B121" s="85" t="s">
        <v>728</v>
      </c>
      <c r="C121" s="71">
        <v>1910</v>
      </c>
      <c r="D121" s="60">
        <v>1</v>
      </c>
      <c r="E121" s="97" t="s">
        <v>426</v>
      </c>
      <c r="F121" s="60"/>
      <c r="G121" s="60"/>
      <c r="H121" s="60">
        <v>8</v>
      </c>
      <c r="I121" s="98"/>
      <c r="J121" s="60"/>
      <c r="K121" s="75">
        <f t="shared" si="1"/>
        <v>315.52000000000004</v>
      </c>
      <c r="L121" s="75">
        <f>316.89-8.28+7.8-0.8-0.09</f>
        <v>315.52000000000004</v>
      </c>
      <c r="M121" s="75"/>
      <c r="N121" s="147"/>
      <c r="O121" s="77"/>
      <c r="P121" s="148"/>
      <c r="Q121" s="84"/>
      <c r="R121" s="80"/>
      <c r="S121" s="148"/>
      <c r="T121" s="165"/>
      <c r="U121" s="161"/>
      <c r="V121" s="160"/>
      <c r="W121" s="175"/>
    </row>
    <row r="122" spans="1:23" s="151" customFormat="1" ht="75" customHeight="1" x14ac:dyDescent="0.2">
      <c r="A122" s="71">
        <v>100</v>
      </c>
      <c r="B122" s="85" t="s">
        <v>236</v>
      </c>
      <c r="C122" s="71" t="s">
        <v>237</v>
      </c>
      <c r="D122" s="60">
        <v>2</v>
      </c>
      <c r="E122" s="97" t="s">
        <v>238</v>
      </c>
      <c r="F122" s="60"/>
      <c r="G122" s="60"/>
      <c r="H122" s="60">
        <f>27-1</f>
        <v>26</v>
      </c>
      <c r="I122" s="98">
        <f>1+1</f>
        <v>2</v>
      </c>
      <c r="J122" s="60">
        <f>62.69+40.06</f>
        <v>102.75</v>
      </c>
      <c r="K122" s="75">
        <f t="shared" si="1"/>
        <v>691.15</v>
      </c>
      <c r="L122" s="75">
        <f>822.48+0.91+1.82-62.69-40.06-16.85-14.46</f>
        <v>691.15</v>
      </c>
      <c r="M122" s="75"/>
      <c r="N122" s="147"/>
      <c r="O122" s="77"/>
      <c r="P122" s="148"/>
      <c r="Q122" s="84"/>
      <c r="R122" s="84" t="s">
        <v>539</v>
      </c>
      <c r="S122" s="148"/>
      <c r="T122" s="148">
        <v>21</v>
      </c>
      <c r="U122" s="146" t="s">
        <v>239</v>
      </c>
      <c r="V122" s="98">
        <v>2179</v>
      </c>
      <c r="W122" s="137" t="s">
        <v>606</v>
      </c>
    </row>
    <row r="123" spans="1:23" ht="16.5" customHeight="1" x14ac:dyDescent="0.2">
      <c r="A123" s="71">
        <v>101</v>
      </c>
      <c r="B123" s="85" t="s">
        <v>240</v>
      </c>
      <c r="C123" s="71">
        <v>1900</v>
      </c>
      <c r="D123" s="60">
        <v>1</v>
      </c>
      <c r="E123" s="97" t="s">
        <v>241</v>
      </c>
      <c r="F123" s="60"/>
      <c r="G123" s="60"/>
      <c r="H123" s="60">
        <v>3</v>
      </c>
      <c r="I123" s="98"/>
      <c r="J123" s="60"/>
      <c r="K123" s="75">
        <f t="shared" si="1"/>
        <v>132.21</v>
      </c>
      <c r="L123" s="75">
        <v>132.21</v>
      </c>
      <c r="M123" s="75"/>
      <c r="N123" s="147"/>
      <c r="O123" s="77"/>
      <c r="P123" s="148"/>
      <c r="Q123" s="84"/>
      <c r="R123" s="80" t="s">
        <v>538</v>
      </c>
      <c r="S123" s="148"/>
      <c r="T123" s="148">
        <v>19</v>
      </c>
      <c r="U123" s="146">
        <v>93</v>
      </c>
      <c r="V123" s="98">
        <v>1280</v>
      </c>
      <c r="W123" s="137" t="s">
        <v>490</v>
      </c>
    </row>
    <row r="124" spans="1:23" ht="18" customHeight="1" x14ac:dyDescent="0.2">
      <c r="A124" s="71">
        <v>102</v>
      </c>
      <c r="B124" s="85" t="s">
        <v>242</v>
      </c>
      <c r="C124" s="71">
        <v>1901</v>
      </c>
      <c r="D124" s="60">
        <v>1</v>
      </c>
      <c r="E124" s="97" t="s">
        <v>243</v>
      </c>
      <c r="F124" s="60"/>
      <c r="G124" s="60"/>
      <c r="H124" s="60">
        <v>7</v>
      </c>
      <c r="I124" s="98"/>
      <c r="J124" s="60"/>
      <c r="K124" s="75">
        <f t="shared" si="1"/>
        <v>312.52999999999997</v>
      </c>
      <c r="L124" s="75">
        <v>312.52999999999997</v>
      </c>
      <c r="M124" s="75"/>
      <c r="N124" s="147"/>
      <c r="O124" s="77"/>
      <c r="P124" s="148"/>
      <c r="Q124" s="84"/>
      <c r="R124" s="80" t="s">
        <v>427</v>
      </c>
      <c r="S124" s="148"/>
      <c r="T124" s="148">
        <v>19</v>
      </c>
      <c r="U124" s="146" t="s">
        <v>244</v>
      </c>
      <c r="V124" s="98">
        <v>960</v>
      </c>
      <c r="W124" s="137" t="s">
        <v>491</v>
      </c>
    </row>
    <row r="125" spans="1:23" customFormat="1" ht="16.5" customHeight="1" x14ac:dyDescent="0.2">
      <c r="A125" s="159">
        <v>103</v>
      </c>
      <c r="B125" s="85" t="s">
        <v>245</v>
      </c>
      <c r="C125" s="71">
        <v>1970</v>
      </c>
      <c r="D125" s="60">
        <v>1</v>
      </c>
      <c r="E125" s="97" t="s">
        <v>246</v>
      </c>
      <c r="F125" s="60"/>
      <c r="G125" s="60"/>
      <c r="H125" s="60">
        <v>18</v>
      </c>
      <c r="I125" s="98"/>
      <c r="J125" s="60"/>
      <c r="K125" s="75">
        <f t="shared" si="1"/>
        <v>377.65000000000003</v>
      </c>
      <c r="L125" s="75">
        <f>368.05+4.51+1+2.12+1.97</f>
        <v>377.65000000000003</v>
      </c>
      <c r="M125" s="75"/>
      <c r="N125" s="147"/>
      <c r="O125" s="77"/>
      <c r="P125" s="148"/>
      <c r="Q125" s="84"/>
      <c r="R125" s="80" t="s">
        <v>428</v>
      </c>
      <c r="S125" s="148"/>
      <c r="T125" s="164">
        <v>19</v>
      </c>
      <c r="U125" s="161" t="s">
        <v>247</v>
      </c>
      <c r="V125" s="160">
        <v>1514</v>
      </c>
      <c r="W125" s="175" t="s">
        <v>607</v>
      </c>
    </row>
    <row r="126" spans="1:23" s="87" customFormat="1" ht="16.5" customHeight="1" x14ac:dyDescent="0.2">
      <c r="A126" s="159"/>
      <c r="B126" s="85" t="s">
        <v>248</v>
      </c>
      <c r="C126" s="71">
        <v>1970</v>
      </c>
      <c r="D126" s="60">
        <v>1</v>
      </c>
      <c r="E126" s="97" t="s">
        <v>249</v>
      </c>
      <c r="F126" s="60"/>
      <c r="G126" s="60"/>
      <c r="H126" s="60">
        <v>17</v>
      </c>
      <c r="I126" s="98"/>
      <c r="J126" s="60"/>
      <c r="K126" s="75">
        <f t="shared" si="1"/>
        <v>381.3</v>
      </c>
      <c r="L126" s="75">
        <f>374.77+2.26+1.16+1.01+1.05+1.05</f>
        <v>381.3</v>
      </c>
      <c r="M126" s="75"/>
      <c r="N126" s="147"/>
      <c r="O126" s="77"/>
      <c r="P126" s="148"/>
      <c r="Q126" s="84"/>
      <c r="R126" s="80"/>
      <c r="S126" s="148"/>
      <c r="T126" s="165"/>
      <c r="U126" s="161"/>
      <c r="V126" s="160"/>
      <c r="W126" s="175"/>
    </row>
    <row r="127" spans="1:23" customFormat="1" ht="16.5" customHeight="1" x14ac:dyDescent="0.2">
      <c r="A127" s="71">
        <v>104</v>
      </c>
      <c r="B127" s="85" t="s">
        <v>250</v>
      </c>
      <c r="C127" s="71">
        <v>1960</v>
      </c>
      <c r="D127" s="60">
        <v>1</v>
      </c>
      <c r="E127" s="97" t="s">
        <v>251</v>
      </c>
      <c r="F127" s="60"/>
      <c r="G127" s="60"/>
      <c r="H127" s="60">
        <v>5</v>
      </c>
      <c r="I127" s="98"/>
      <c r="J127" s="60"/>
      <c r="K127" s="75">
        <f t="shared" si="1"/>
        <v>161.86000000000001</v>
      </c>
      <c r="L127" s="75">
        <v>161.86000000000001</v>
      </c>
      <c r="M127" s="75"/>
      <c r="N127" s="147"/>
      <c r="O127" s="98"/>
      <c r="P127" s="148"/>
      <c r="Q127" s="84"/>
      <c r="R127" s="80"/>
      <c r="S127" s="148"/>
      <c r="T127" s="148">
        <v>46</v>
      </c>
      <c r="U127" s="98">
        <v>79</v>
      </c>
      <c r="V127" s="146">
        <v>3366</v>
      </c>
      <c r="W127" s="137" t="s">
        <v>608</v>
      </c>
    </row>
    <row r="128" spans="1:23" customFormat="1" ht="46.15" customHeight="1" x14ac:dyDescent="0.2">
      <c r="A128" s="71">
        <v>105</v>
      </c>
      <c r="B128" s="85" t="s">
        <v>252</v>
      </c>
      <c r="C128" s="71" t="s">
        <v>253</v>
      </c>
      <c r="D128" s="60">
        <v>4</v>
      </c>
      <c r="E128" s="97" t="s">
        <v>254</v>
      </c>
      <c r="F128" s="60"/>
      <c r="G128" s="60"/>
      <c r="H128" s="60">
        <f>21-1-2-2-1</f>
        <v>15</v>
      </c>
      <c r="I128" s="98">
        <f>2+1+2+2+1</f>
        <v>8</v>
      </c>
      <c r="J128" s="60">
        <f>69.44+28.58+61.23+42.77+52.42+78.15</f>
        <v>332.59000000000003</v>
      </c>
      <c r="K128" s="75">
        <f t="shared" si="1"/>
        <v>669.7700000000001</v>
      </c>
      <c r="L128" s="75">
        <f>828.08+6.73+14.12-28.58-2.37-61.23-42.77-52.42-78.15+12.88</f>
        <v>596.29000000000008</v>
      </c>
      <c r="M128" s="75">
        <f>87.33-13.85-40.48+40.48</f>
        <v>73.48</v>
      </c>
      <c r="N128" s="147">
        <f>3-1+1</f>
        <v>3</v>
      </c>
      <c r="O128" s="77"/>
      <c r="P128" s="148"/>
      <c r="Q128" s="84" t="s">
        <v>540</v>
      </c>
      <c r="R128" s="84" t="s">
        <v>541</v>
      </c>
      <c r="S128" s="148"/>
      <c r="T128" s="148">
        <v>21</v>
      </c>
      <c r="U128" s="146">
        <v>42</v>
      </c>
      <c r="V128" s="98">
        <v>1643</v>
      </c>
      <c r="W128" s="137" t="s">
        <v>609</v>
      </c>
    </row>
    <row r="129" spans="1:23" s="70" customFormat="1" ht="22.5" x14ac:dyDescent="0.2">
      <c r="A129" s="234">
        <v>106</v>
      </c>
      <c r="B129" s="234" t="s">
        <v>255</v>
      </c>
      <c r="C129" s="71" t="s">
        <v>256</v>
      </c>
      <c r="D129" s="60">
        <v>2</v>
      </c>
      <c r="E129" s="97" t="s">
        <v>257</v>
      </c>
      <c r="F129" s="60"/>
      <c r="G129" s="60"/>
      <c r="H129" s="60">
        <v>27</v>
      </c>
      <c r="I129" s="98">
        <v>2</v>
      </c>
      <c r="J129" s="60">
        <v>29.529999999999998</v>
      </c>
      <c r="K129" s="75">
        <f t="shared" si="1"/>
        <v>1081.52</v>
      </c>
      <c r="L129" s="75">
        <f>1095.3-4.12-4.48-0.9-4.28</f>
        <v>1081.52</v>
      </c>
      <c r="M129" s="75"/>
      <c r="N129" s="147"/>
      <c r="O129" s="77">
        <v>30</v>
      </c>
      <c r="P129" s="148">
        <v>2</v>
      </c>
      <c r="Q129" s="84"/>
      <c r="R129" s="80" t="s">
        <v>429</v>
      </c>
      <c r="S129" s="148"/>
      <c r="T129" s="148">
        <v>21</v>
      </c>
      <c r="U129" s="146" t="s">
        <v>671</v>
      </c>
      <c r="V129" s="98">
        <v>1895</v>
      </c>
      <c r="W129" s="137" t="s">
        <v>504</v>
      </c>
    </row>
    <row r="130" spans="1:23" s="70" customFormat="1" x14ac:dyDescent="0.2">
      <c r="A130" s="235"/>
      <c r="B130" s="235"/>
      <c r="C130" s="71"/>
      <c r="D130" s="60"/>
      <c r="E130" s="97"/>
      <c r="F130" s="60"/>
      <c r="G130" s="60"/>
      <c r="H130" s="60"/>
      <c r="I130" s="98"/>
      <c r="J130" s="60"/>
      <c r="K130" s="75"/>
      <c r="L130" s="75"/>
      <c r="M130" s="75"/>
      <c r="N130" s="147"/>
      <c r="O130" s="77"/>
      <c r="P130" s="148"/>
      <c r="Q130" s="84"/>
      <c r="R130" s="80"/>
      <c r="S130" s="148"/>
      <c r="T130" s="148">
        <v>21</v>
      </c>
      <c r="U130" s="153" t="s">
        <v>672</v>
      </c>
      <c r="V130" s="98">
        <v>9</v>
      </c>
      <c r="W130" s="137" t="s">
        <v>673</v>
      </c>
    </row>
    <row r="131" spans="1:23" ht="44.45" customHeight="1" x14ac:dyDescent="0.2">
      <c r="A131" s="71">
        <v>107</v>
      </c>
      <c r="B131" s="85" t="s">
        <v>258</v>
      </c>
      <c r="C131" s="71" t="s">
        <v>259</v>
      </c>
      <c r="D131" s="60">
        <v>2</v>
      </c>
      <c r="E131" s="97" t="s">
        <v>260</v>
      </c>
      <c r="F131" s="60">
        <v>1</v>
      </c>
      <c r="G131" s="60" t="s">
        <v>261</v>
      </c>
      <c r="H131" s="60">
        <v>11</v>
      </c>
      <c r="I131" s="98"/>
      <c r="J131" s="60"/>
      <c r="K131" s="75">
        <f t="shared" si="1"/>
        <v>474.73</v>
      </c>
      <c r="L131" s="75">
        <f>438.92-0.35</f>
        <v>438.57</v>
      </c>
      <c r="M131" s="75">
        <v>36.159999999999997</v>
      </c>
      <c r="N131" s="147">
        <v>1</v>
      </c>
      <c r="O131" s="77"/>
      <c r="P131" s="148"/>
      <c r="Q131" s="84"/>
      <c r="R131" s="84" t="s">
        <v>463</v>
      </c>
      <c r="S131" s="148"/>
      <c r="T131" s="148">
        <v>21</v>
      </c>
      <c r="U131" s="153" t="s">
        <v>492</v>
      </c>
      <c r="V131" s="98">
        <v>1286</v>
      </c>
      <c r="W131" s="137" t="s">
        <v>493</v>
      </c>
    </row>
    <row r="132" spans="1:23" ht="22.5" x14ac:dyDescent="0.2">
      <c r="A132" s="71">
        <v>108</v>
      </c>
      <c r="B132" s="85" t="s">
        <v>262</v>
      </c>
      <c r="C132" s="71" t="s">
        <v>204</v>
      </c>
      <c r="D132" s="60">
        <v>2</v>
      </c>
      <c r="E132" s="97" t="s">
        <v>263</v>
      </c>
      <c r="F132" s="60"/>
      <c r="G132" s="60"/>
      <c r="H132" s="60">
        <v>10</v>
      </c>
      <c r="I132" s="98">
        <v>1</v>
      </c>
      <c r="J132" s="76">
        <v>13.9</v>
      </c>
      <c r="K132" s="75">
        <f t="shared" si="1"/>
        <v>403.6</v>
      </c>
      <c r="L132" s="75">
        <v>381.19</v>
      </c>
      <c r="M132" s="75">
        <v>22.409999999999997</v>
      </c>
      <c r="N132" s="147">
        <v>1</v>
      </c>
      <c r="O132" s="77"/>
      <c r="P132" s="148"/>
      <c r="Q132" s="84"/>
      <c r="R132" s="80" t="s">
        <v>430</v>
      </c>
      <c r="S132" s="148"/>
      <c r="T132" s="148">
        <v>21</v>
      </c>
      <c r="U132" s="146" t="s">
        <v>264</v>
      </c>
      <c r="V132" s="98">
        <v>529</v>
      </c>
      <c r="W132" s="137" t="s">
        <v>689</v>
      </c>
    </row>
    <row r="133" spans="1:23" ht="16.149999999999999" customHeight="1" x14ac:dyDescent="0.2">
      <c r="A133" s="71">
        <v>109</v>
      </c>
      <c r="B133" s="85" t="s">
        <v>265</v>
      </c>
      <c r="C133" s="71">
        <v>1900</v>
      </c>
      <c r="D133" s="60">
        <v>1</v>
      </c>
      <c r="E133" s="97" t="s">
        <v>266</v>
      </c>
      <c r="F133" s="60"/>
      <c r="G133" s="60"/>
      <c r="H133" s="60">
        <v>4</v>
      </c>
      <c r="I133" s="98"/>
      <c r="J133" s="60"/>
      <c r="K133" s="75">
        <f t="shared" si="1"/>
        <v>143.41999999999999</v>
      </c>
      <c r="L133" s="75">
        <v>143.41999999999999</v>
      </c>
      <c r="M133" s="75"/>
      <c r="N133" s="147"/>
      <c r="O133" s="77"/>
      <c r="P133" s="148"/>
      <c r="Q133" s="84"/>
      <c r="R133" s="80" t="s">
        <v>450</v>
      </c>
      <c r="S133" s="148"/>
      <c r="T133" s="148">
        <v>21</v>
      </c>
      <c r="U133" s="146">
        <v>94</v>
      </c>
      <c r="V133" s="98">
        <v>277</v>
      </c>
      <c r="W133" s="137" t="s">
        <v>610</v>
      </c>
    </row>
    <row r="134" spans="1:23" ht="46.15" customHeight="1" x14ac:dyDescent="0.2">
      <c r="A134" s="71">
        <v>110</v>
      </c>
      <c r="B134" s="85" t="s">
        <v>729</v>
      </c>
      <c r="C134" s="71" t="s">
        <v>267</v>
      </c>
      <c r="D134" s="60">
        <v>2</v>
      </c>
      <c r="E134" s="97" t="s">
        <v>268</v>
      </c>
      <c r="F134" s="60"/>
      <c r="G134" s="60"/>
      <c r="H134" s="60">
        <v>16</v>
      </c>
      <c r="I134" s="98">
        <v>2</v>
      </c>
      <c r="J134" s="60">
        <v>22.32</v>
      </c>
      <c r="K134" s="75">
        <f t="shared" si="1"/>
        <v>761.18999999999994</v>
      </c>
      <c r="L134" s="75">
        <f>761.41-0.22</f>
        <v>761.18999999999994</v>
      </c>
      <c r="M134" s="75"/>
      <c r="N134" s="147"/>
      <c r="O134" s="77"/>
      <c r="P134" s="148"/>
      <c r="Q134" s="84"/>
      <c r="R134" s="84" t="s">
        <v>431</v>
      </c>
      <c r="S134" s="148"/>
      <c r="T134" s="148">
        <v>21</v>
      </c>
      <c r="U134" s="109" t="s">
        <v>674</v>
      </c>
      <c r="V134" s="98">
        <v>1362</v>
      </c>
      <c r="W134" s="137" t="s">
        <v>690</v>
      </c>
    </row>
    <row r="135" spans="1:23" ht="33" customHeight="1" x14ac:dyDescent="0.2">
      <c r="A135" s="71">
        <v>111</v>
      </c>
      <c r="B135" s="85" t="s">
        <v>730</v>
      </c>
      <c r="C135" s="71" t="s">
        <v>269</v>
      </c>
      <c r="D135" s="60">
        <v>3</v>
      </c>
      <c r="E135" s="97" t="s">
        <v>270</v>
      </c>
      <c r="F135" s="60"/>
      <c r="G135" s="60"/>
      <c r="H135" s="60">
        <v>20</v>
      </c>
      <c r="I135" s="98">
        <v>2</v>
      </c>
      <c r="J135" s="60">
        <v>37.22</v>
      </c>
      <c r="K135" s="75">
        <f t="shared" ref="K135:K171" si="2">L135+M135</f>
        <v>888.35</v>
      </c>
      <c r="L135" s="75">
        <v>828.01</v>
      </c>
      <c r="M135" s="75">
        <v>60.34</v>
      </c>
      <c r="N135" s="147">
        <v>2</v>
      </c>
      <c r="O135" s="77"/>
      <c r="P135" s="148"/>
      <c r="Q135" s="84"/>
      <c r="R135" s="80"/>
      <c r="S135" s="148"/>
      <c r="T135" s="148">
        <v>21</v>
      </c>
      <c r="U135" s="146">
        <v>93</v>
      </c>
      <c r="V135" s="98">
        <v>687</v>
      </c>
      <c r="W135" s="137" t="s">
        <v>611</v>
      </c>
    </row>
    <row r="136" spans="1:23" customFormat="1" ht="22.9" customHeight="1" x14ac:dyDescent="0.2">
      <c r="A136" s="71">
        <v>112</v>
      </c>
      <c r="B136" s="85" t="s">
        <v>271</v>
      </c>
      <c r="C136" s="71" t="s">
        <v>272</v>
      </c>
      <c r="D136" s="60">
        <v>2</v>
      </c>
      <c r="E136" s="97" t="s">
        <v>273</v>
      </c>
      <c r="F136" s="60"/>
      <c r="G136" s="60"/>
      <c r="H136" s="60">
        <v>14</v>
      </c>
      <c r="I136" s="98"/>
      <c r="J136" s="60"/>
      <c r="K136" s="75">
        <f t="shared" si="2"/>
        <v>501.6</v>
      </c>
      <c r="L136" s="75">
        <f>502.49+0.01-0.9</f>
        <v>501.6</v>
      </c>
      <c r="M136" s="75"/>
      <c r="N136" s="147"/>
      <c r="O136" s="77">
        <f>46.06-12.46</f>
        <v>33.6</v>
      </c>
      <c r="P136" s="148">
        <f>3-1</f>
        <v>2</v>
      </c>
      <c r="Q136" s="84" t="s">
        <v>432</v>
      </c>
      <c r="R136" s="84" t="s">
        <v>433</v>
      </c>
      <c r="S136" s="148"/>
      <c r="T136" s="148">
        <v>21</v>
      </c>
      <c r="U136" s="146">
        <v>29</v>
      </c>
      <c r="V136" s="98">
        <v>577</v>
      </c>
      <c r="W136" s="137" t="s">
        <v>612</v>
      </c>
    </row>
    <row r="137" spans="1:23" ht="29.25" x14ac:dyDescent="0.2">
      <c r="A137" s="159">
        <v>113</v>
      </c>
      <c r="B137" s="85" t="s">
        <v>274</v>
      </c>
      <c r="C137" s="71" t="s">
        <v>275</v>
      </c>
      <c r="D137" s="60">
        <v>2</v>
      </c>
      <c r="E137" s="97" t="s">
        <v>276</v>
      </c>
      <c r="F137" s="60"/>
      <c r="G137" s="60"/>
      <c r="H137" s="60">
        <f>15-I137</f>
        <v>14</v>
      </c>
      <c r="I137" s="98">
        <v>1</v>
      </c>
      <c r="J137" s="60">
        <v>26.88</v>
      </c>
      <c r="K137" s="75">
        <f t="shared" si="2"/>
        <v>574.21</v>
      </c>
      <c r="L137" s="75">
        <f>601.09-J137</f>
        <v>574.21</v>
      </c>
      <c r="M137" s="75"/>
      <c r="N137" s="147"/>
      <c r="O137" s="77">
        <v>11.5</v>
      </c>
      <c r="P137" s="148">
        <v>1</v>
      </c>
      <c r="Q137" s="84" t="s">
        <v>543</v>
      </c>
      <c r="R137" s="96"/>
      <c r="S137" s="148"/>
      <c r="T137" s="148">
        <v>21</v>
      </c>
      <c r="U137" s="110" t="s">
        <v>277</v>
      </c>
      <c r="V137" s="98">
        <v>587</v>
      </c>
      <c r="W137" s="137" t="s">
        <v>613</v>
      </c>
    </row>
    <row r="138" spans="1:23" ht="24.6" customHeight="1" x14ac:dyDescent="0.2">
      <c r="A138" s="159"/>
      <c r="B138" s="85" t="s">
        <v>278</v>
      </c>
      <c r="C138" s="71"/>
      <c r="D138" s="60"/>
      <c r="E138" s="97"/>
      <c r="F138" s="60"/>
      <c r="G138" s="60"/>
      <c r="H138" s="60"/>
      <c r="I138" s="98"/>
      <c r="J138" s="60"/>
      <c r="K138" s="75">
        <f t="shared" si="2"/>
        <v>0</v>
      </c>
      <c r="L138" s="75"/>
      <c r="M138" s="75"/>
      <c r="N138" s="147"/>
      <c r="O138" s="77"/>
      <c r="P138" s="148"/>
      <c r="Q138" s="84"/>
      <c r="R138" s="80" t="s">
        <v>464</v>
      </c>
      <c r="S138" s="148"/>
      <c r="T138" s="148">
        <v>21</v>
      </c>
      <c r="U138" s="153" t="s">
        <v>691</v>
      </c>
      <c r="V138" s="98">
        <v>337</v>
      </c>
      <c r="W138" s="137" t="s">
        <v>505</v>
      </c>
    </row>
    <row r="139" spans="1:23" customFormat="1" ht="35.25" customHeight="1" x14ac:dyDescent="0.2">
      <c r="A139" s="71">
        <v>114</v>
      </c>
      <c r="B139" s="92" t="s">
        <v>658</v>
      </c>
      <c r="C139" s="71">
        <v>1880</v>
      </c>
      <c r="D139" s="60">
        <v>1</v>
      </c>
      <c r="E139" s="95" t="s">
        <v>279</v>
      </c>
      <c r="F139" s="60"/>
      <c r="G139" s="60"/>
      <c r="H139" s="60">
        <v>12</v>
      </c>
      <c r="I139" s="98"/>
      <c r="J139" s="60"/>
      <c r="K139" s="75">
        <f t="shared" si="2"/>
        <v>538.23</v>
      </c>
      <c r="L139" s="75">
        <f>543.59-4.16+0.04-1.24</f>
        <v>538.23</v>
      </c>
      <c r="M139" s="75"/>
      <c r="N139" s="147"/>
      <c r="O139" s="77"/>
      <c r="P139" s="148"/>
      <c r="Q139" s="84"/>
      <c r="R139" s="80"/>
      <c r="S139" s="148"/>
      <c r="T139" s="148">
        <v>21</v>
      </c>
      <c r="U139" s="146">
        <v>70</v>
      </c>
      <c r="V139" s="98">
        <v>407</v>
      </c>
      <c r="W139" s="137" t="s">
        <v>506</v>
      </c>
    </row>
    <row r="140" spans="1:23" s="70" customFormat="1" ht="33.6" customHeight="1" x14ac:dyDescent="0.2">
      <c r="A140" s="71">
        <v>115</v>
      </c>
      <c r="B140" s="85" t="s">
        <v>280</v>
      </c>
      <c r="C140" s="71" t="s">
        <v>281</v>
      </c>
      <c r="D140" s="60">
        <v>3</v>
      </c>
      <c r="E140" s="97" t="s">
        <v>282</v>
      </c>
      <c r="F140" s="60">
        <v>1</v>
      </c>
      <c r="G140" s="60" t="s">
        <v>283</v>
      </c>
      <c r="H140" s="60">
        <v>26</v>
      </c>
      <c r="I140" s="98">
        <v>1</v>
      </c>
      <c r="J140" s="60">
        <v>43.13</v>
      </c>
      <c r="K140" s="75">
        <f t="shared" si="2"/>
        <v>1590.98</v>
      </c>
      <c r="L140" s="75">
        <f>1580.17-19.62-43.13-2.45-1.23</f>
        <v>1513.74</v>
      </c>
      <c r="M140" s="75">
        <v>77.239999999999995</v>
      </c>
      <c r="N140" s="147">
        <v>2</v>
      </c>
      <c r="O140" s="77">
        <v>63</v>
      </c>
      <c r="P140" s="148">
        <v>3</v>
      </c>
      <c r="Q140" s="84" t="s">
        <v>435</v>
      </c>
      <c r="R140" s="148" t="s">
        <v>434</v>
      </c>
      <c r="S140" s="147"/>
      <c r="T140" s="147">
        <v>21</v>
      </c>
      <c r="U140" s="146" t="s">
        <v>284</v>
      </c>
      <c r="V140" s="98">
        <v>4456</v>
      </c>
      <c r="W140" s="137" t="s">
        <v>614</v>
      </c>
    </row>
    <row r="141" spans="1:23" s="70" customFormat="1" ht="43.9" customHeight="1" x14ac:dyDescent="0.2">
      <c r="A141" s="71">
        <v>116</v>
      </c>
      <c r="B141" s="85" t="s">
        <v>509</v>
      </c>
      <c r="C141" s="71" t="s">
        <v>297</v>
      </c>
      <c r="D141" s="60">
        <v>4</v>
      </c>
      <c r="E141" s="97" t="s">
        <v>298</v>
      </c>
      <c r="F141" s="60"/>
      <c r="G141" s="60"/>
      <c r="H141" s="154">
        <v>23</v>
      </c>
      <c r="I141" s="148"/>
      <c r="J141" s="154"/>
      <c r="K141" s="75">
        <f t="shared" si="2"/>
        <v>1128.02</v>
      </c>
      <c r="L141" s="75">
        <f>1122.7-0.48+5.8</f>
        <v>1128.02</v>
      </c>
      <c r="M141" s="75"/>
      <c r="N141" s="148"/>
      <c r="O141" s="77"/>
      <c r="P141" s="148"/>
      <c r="Q141" s="84"/>
      <c r="R141" s="84" t="s">
        <v>437</v>
      </c>
      <c r="S141" s="148"/>
      <c r="T141" s="148">
        <v>22</v>
      </c>
      <c r="U141" s="97" t="s">
        <v>299</v>
      </c>
      <c r="V141" s="104">
        <v>1812</v>
      </c>
      <c r="W141" s="137" t="s">
        <v>615</v>
      </c>
    </row>
    <row r="142" spans="1:23" customFormat="1" ht="33.6" customHeight="1" x14ac:dyDescent="0.2">
      <c r="A142" s="71">
        <v>117</v>
      </c>
      <c r="B142" s="85" t="s">
        <v>285</v>
      </c>
      <c r="C142" s="71" t="s">
        <v>286</v>
      </c>
      <c r="D142" s="60">
        <v>3</v>
      </c>
      <c r="E142" s="97" t="s">
        <v>287</v>
      </c>
      <c r="F142" s="60"/>
      <c r="G142" s="60"/>
      <c r="H142" s="60">
        <f>18-1</f>
        <v>17</v>
      </c>
      <c r="I142" s="98"/>
      <c r="J142" s="60"/>
      <c r="K142" s="75">
        <f t="shared" si="2"/>
        <v>924.24</v>
      </c>
      <c r="L142" s="75">
        <f>939.33-0.88-0.65-0.44-12.6-0.52</f>
        <v>924.24</v>
      </c>
      <c r="M142" s="75"/>
      <c r="N142" s="147"/>
      <c r="O142" s="77"/>
      <c r="P142" s="148"/>
      <c r="Q142" s="84"/>
      <c r="R142" s="84" t="s">
        <v>633</v>
      </c>
      <c r="S142" s="147"/>
      <c r="T142" s="147">
        <v>21</v>
      </c>
      <c r="U142" s="146" t="s">
        <v>288</v>
      </c>
      <c r="V142" s="98">
        <v>1426</v>
      </c>
      <c r="W142" s="137" t="s">
        <v>616</v>
      </c>
    </row>
    <row r="143" spans="1:23" s="86" customFormat="1" ht="45" x14ac:dyDescent="0.2">
      <c r="A143" s="71">
        <v>118</v>
      </c>
      <c r="B143" s="85" t="s">
        <v>289</v>
      </c>
      <c r="C143" s="71" t="s">
        <v>290</v>
      </c>
      <c r="D143" s="60">
        <v>3</v>
      </c>
      <c r="E143" s="97" t="s">
        <v>631</v>
      </c>
      <c r="F143" s="60"/>
      <c r="G143" s="60"/>
      <c r="H143" s="60">
        <v>29</v>
      </c>
      <c r="I143" s="98">
        <v>1</v>
      </c>
      <c r="J143" s="60">
        <v>18.420000000000002</v>
      </c>
      <c r="K143" s="75">
        <f t="shared" si="2"/>
        <v>1408.7900000000004</v>
      </c>
      <c r="L143" s="75">
        <f>1342.98-1.02+21.13+0.75-0.62-2.34+0.41</f>
        <v>1361.2900000000004</v>
      </c>
      <c r="M143" s="75">
        <f>47.2+0.3</f>
        <v>47.5</v>
      </c>
      <c r="N143" s="147">
        <v>2</v>
      </c>
      <c r="O143" s="77"/>
      <c r="P143" s="148"/>
      <c r="Q143" s="84"/>
      <c r="R143" s="84" t="s">
        <v>630</v>
      </c>
      <c r="S143" s="147"/>
      <c r="T143" s="99">
        <v>22</v>
      </c>
      <c r="U143" s="101">
        <v>101</v>
      </c>
      <c r="V143" s="100">
        <v>1962</v>
      </c>
      <c r="W143" s="138" t="s">
        <v>507</v>
      </c>
    </row>
    <row r="144" spans="1:23" customFormat="1" ht="24" customHeight="1" x14ac:dyDescent="0.2">
      <c r="A144" s="71">
        <v>119</v>
      </c>
      <c r="B144" s="85" t="s">
        <v>291</v>
      </c>
      <c r="C144" s="71" t="s">
        <v>292</v>
      </c>
      <c r="D144" s="60">
        <v>2</v>
      </c>
      <c r="E144" s="97" t="s">
        <v>293</v>
      </c>
      <c r="F144" s="60"/>
      <c r="G144" s="60"/>
      <c r="H144" s="60">
        <v>23</v>
      </c>
      <c r="I144" s="98"/>
      <c r="J144" s="60"/>
      <c r="K144" s="75">
        <f t="shared" si="2"/>
        <v>1137.05</v>
      </c>
      <c r="L144" s="75">
        <f>1026.62-7.24-2.77+6.86+2.58-0.25</f>
        <v>1025.8</v>
      </c>
      <c r="M144" s="75">
        <v>111.25</v>
      </c>
      <c r="N144" s="147">
        <v>2</v>
      </c>
      <c r="O144" s="77"/>
      <c r="P144" s="148"/>
      <c r="Q144" s="84"/>
      <c r="R144" s="80" t="s">
        <v>465</v>
      </c>
      <c r="S144" s="147"/>
      <c r="T144" s="147">
        <v>22</v>
      </c>
      <c r="U144" s="146" t="s">
        <v>294</v>
      </c>
      <c r="V144" s="98">
        <v>1009</v>
      </c>
      <c r="W144" s="137" t="s">
        <v>617</v>
      </c>
    </row>
    <row r="145" spans="1:23" s="151" customFormat="1" ht="36.6" customHeight="1" x14ac:dyDescent="0.2">
      <c r="A145" s="71">
        <v>120</v>
      </c>
      <c r="B145" s="85" t="s">
        <v>295</v>
      </c>
      <c r="C145" s="71" t="s">
        <v>296</v>
      </c>
      <c r="D145" s="60">
        <v>3</v>
      </c>
      <c r="E145" s="97" t="s">
        <v>458</v>
      </c>
      <c r="F145" s="60"/>
      <c r="G145" s="60"/>
      <c r="H145" s="60">
        <v>5</v>
      </c>
      <c r="I145" s="98"/>
      <c r="J145" s="60"/>
      <c r="K145" s="75">
        <f t="shared" si="2"/>
        <v>302.94</v>
      </c>
      <c r="L145" s="75">
        <f>239.73+0.29</f>
        <v>240.01999999999998</v>
      </c>
      <c r="M145" s="75">
        <v>62.92</v>
      </c>
      <c r="N145" s="147">
        <v>1</v>
      </c>
      <c r="O145" s="77">
        <v>101.26</v>
      </c>
      <c r="P145" s="148">
        <v>6</v>
      </c>
      <c r="Q145" s="84" t="s">
        <v>436</v>
      </c>
      <c r="R145" s="80" t="s">
        <v>466</v>
      </c>
      <c r="S145" s="148"/>
      <c r="T145" s="148">
        <v>22</v>
      </c>
      <c r="U145" s="146">
        <v>28</v>
      </c>
      <c r="V145" s="98">
        <v>1211</v>
      </c>
      <c r="W145" s="137" t="s">
        <v>508</v>
      </c>
    </row>
    <row r="146" spans="1:23" s="89" customFormat="1" ht="23.45" customHeight="1" x14ac:dyDescent="0.2">
      <c r="A146" s="71">
        <v>121</v>
      </c>
      <c r="B146" s="85" t="s">
        <v>300</v>
      </c>
      <c r="C146" s="71">
        <v>1900</v>
      </c>
      <c r="D146" s="60">
        <v>1</v>
      </c>
      <c r="E146" s="97" t="s">
        <v>301</v>
      </c>
      <c r="F146" s="60"/>
      <c r="G146" s="60"/>
      <c r="H146" s="60">
        <v>13</v>
      </c>
      <c r="I146" s="98"/>
      <c r="J146" s="60"/>
      <c r="K146" s="75">
        <f t="shared" si="2"/>
        <v>652.12999999999988</v>
      </c>
      <c r="L146" s="75">
        <f>557.41-2.73-4.46-1.48+2.12</f>
        <v>550.8599999999999</v>
      </c>
      <c r="M146" s="75">
        <v>101.27</v>
      </c>
      <c r="N146" s="147">
        <v>1</v>
      </c>
      <c r="O146" s="77"/>
      <c r="P146" s="148"/>
      <c r="Q146" s="84"/>
      <c r="R146" s="80" t="s">
        <v>438</v>
      </c>
      <c r="S146" s="148"/>
      <c r="T146" s="105">
        <v>22</v>
      </c>
      <c r="U146" s="101" t="s">
        <v>302</v>
      </c>
      <c r="V146" s="100">
        <v>475</v>
      </c>
      <c r="W146" s="138" t="s">
        <v>510</v>
      </c>
    </row>
    <row r="147" spans="1:23" customFormat="1" ht="41.45" customHeight="1" x14ac:dyDescent="0.2">
      <c r="A147" s="71">
        <v>122</v>
      </c>
      <c r="B147" s="85" t="s">
        <v>303</v>
      </c>
      <c r="C147" s="71" t="s">
        <v>304</v>
      </c>
      <c r="D147" s="60">
        <v>3</v>
      </c>
      <c r="E147" s="97" t="s">
        <v>459</v>
      </c>
      <c r="F147" s="60"/>
      <c r="G147" s="60"/>
      <c r="H147" s="154">
        <f>19-1-1</f>
        <v>17</v>
      </c>
      <c r="I147" s="148">
        <f>2+1+1</f>
        <v>4</v>
      </c>
      <c r="J147" s="60">
        <f>11.74+44.88+18.73+42.2</f>
        <v>117.55000000000001</v>
      </c>
      <c r="K147" s="75">
        <f t="shared" si="2"/>
        <v>1282.46</v>
      </c>
      <c r="L147" s="75">
        <f>1002.85-44.88-18.73-0.57-42.2</f>
        <v>896.46999999999991</v>
      </c>
      <c r="M147" s="77">
        <v>385.99</v>
      </c>
      <c r="N147" s="148">
        <v>9</v>
      </c>
      <c r="O147" s="77"/>
      <c r="P147" s="77"/>
      <c r="Q147" s="95"/>
      <c r="R147" s="84" t="s">
        <v>544</v>
      </c>
      <c r="S147" s="77"/>
      <c r="T147" s="98">
        <v>22</v>
      </c>
      <c r="U147" s="98">
        <v>44</v>
      </c>
      <c r="V147" s="146">
        <v>2783</v>
      </c>
      <c r="W147" s="155" t="s">
        <v>692</v>
      </c>
    </row>
    <row r="148" spans="1:23" s="86" customFormat="1" ht="22.5" x14ac:dyDescent="0.2">
      <c r="A148" s="71">
        <v>123</v>
      </c>
      <c r="B148" s="85" t="s">
        <v>305</v>
      </c>
      <c r="C148" s="71" t="s">
        <v>642</v>
      </c>
      <c r="D148" s="60">
        <v>2</v>
      </c>
      <c r="E148" s="97" t="s">
        <v>632</v>
      </c>
      <c r="F148" s="60"/>
      <c r="G148" s="60"/>
      <c r="H148" s="154">
        <v>9</v>
      </c>
      <c r="I148" s="148"/>
      <c r="J148" s="154"/>
      <c r="K148" s="75">
        <f t="shared" si="2"/>
        <v>650.35</v>
      </c>
      <c r="L148" s="75">
        <f>586.1-0.5-0.95-0.91</f>
        <v>583.74</v>
      </c>
      <c r="M148" s="77">
        <f>57.71+8.9</f>
        <v>66.61</v>
      </c>
      <c r="N148" s="148">
        <v>4</v>
      </c>
      <c r="O148" s="77"/>
      <c r="P148" s="77"/>
      <c r="Q148" s="95"/>
      <c r="R148" s="94"/>
      <c r="S148" s="77"/>
      <c r="T148" s="100">
        <v>22</v>
      </c>
      <c r="U148" s="100">
        <v>11</v>
      </c>
      <c r="V148" s="101">
        <v>1000</v>
      </c>
      <c r="W148" s="139" t="s">
        <v>511</v>
      </c>
    </row>
    <row r="149" spans="1:23" s="86" customFormat="1" ht="26.25" customHeight="1" x14ac:dyDescent="0.2">
      <c r="A149" s="71">
        <v>124</v>
      </c>
      <c r="B149" s="85" t="s">
        <v>743</v>
      </c>
      <c r="C149" s="71" t="s">
        <v>744</v>
      </c>
      <c r="D149" s="60">
        <v>2</v>
      </c>
      <c r="E149" s="97"/>
      <c r="F149" s="60"/>
      <c r="G149" s="60"/>
      <c r="H149" s="154">
        <v>11</v>
      </c>
      <c r="I149" s="148"/>
      <c r="J149" s="154"/>
      <c r="K149" s="75"/>
      <c r="L149" s="75">
        <v>506.57</v>
      </c>
      <c r="M149" s="77">
        <v>57.1</v>
      </c>
      <c r="N149" s="148">
        <v>1</v>
      </c>
      <c r="O149" s="77"/>
      <c r="P149" s="77"/>
      <c r="Q149" s="95"/>
      <c r="R149" s="94"/>
      <c r="S149" s="77"/>
      <c r="T149" s="100">
        <v>22</v>
      </c>
      <c r="U149" s="100">
        <v>5</v>
      </c>
      <c r="V149" s="101">
        <v>3501</v>
      </c>
      <c r="W149" s="139" t="s">
        <v>745</v>
      </c>
    </row>
    <row r="150" spans="1:23" ht="22.5" x14ac:dyDescent="0.2">
      <c r="A150" s="159">
        <v>125</v>
      </c>
      <c r="B150" s="85" t="s">
        <v>306</v>
      </c>
      <c r="C150" s="71">
        <v>1942</v>
      </c>
      <c r="D150" s="60">
        <v>1</v>
      </c>
      <c r="E150" s="97" t="s">
        <v>307</v>
      </c>
      <c r="F150" s="60"/>
      <c r="G150" s="60"/>
      <c r="H150" s="60">
        <v>5</v>
      </c>
      <c r="I150" s="98">
        <v>1</v>
      </c>
      <c r="J150" s="152">
        <v>13</v>
      </c>
      <c r="K150" s="75">
        <f t="shared" si="2"/>
        <v>323.75</v>
      </c>
      <c r="L150" s="75">
        <f>324.94-1.19</f>
        <v>323.75</v>
      </c>
      <c r="M150" s="75"/>
      <c r="N150" s="147"/>
      <c r="O150" s="77">
        <v>37.299999999999997</v>
      </c>
      <c r="P150" s="148">
        <v>2</v>
      </c>
      <c r="Q150" s="84" t="s">
        <v>542</v>
      </c>
      <c r="R150" s="80" t="s">
        <v>439</v>
      </c>
      <c r="S150" s="148"/>
      <c r="T150" s="164">
        <v>14</v>
      </c>
      <c r="U150" s="161">
        <v>608</v>
      </c>
      <c r="V150" s="160">
        <v>777</v>
      </c>
      <c r="W150" s="175" t="s">
        <v>512</v>
      </c>
    </row>
    <row r="151" spans="1:23" customFormat="1" ht="22.5" x14ac:dyDescent="0.2">
      <c r="A151" s="159"/>
      <c r="B151" s="85" t="s">
        <v>308</v>
      </c>
      <c r="C151" s="71">
        <v>1938</v>
      </c>
      <c r="D151" s="60">
        <v>1</v>
      </c>
      <c r="E151" s="97" t="s">
        <v>309</v>
      </c>
      <c r="F151" s="60"/>
      <c r="G151" s="60"/>
      <c r="H151" s="60">
        <v>6</v>
      </c>
      <c r="I151" s="98"/>
      <c r="J151" s="60"/>
      <c r="K151" s="75">
        <f t="shared" si="2"/>
        <v>229.68</v>
      </c>
      <c r="L151" s="75">
        <f>230.65-0.97</f>
        <v>229.68</v>
      </c>
      <c r="M151" s="75"/>
      <c r="N151" s="147"/>
      <c r="O151" s="77"/>
      <c r="P151" s="148"/>
      <c r="Q151" s="84"/>
      <c r="R151" s="80"/>
      <c r="S151" s="148"/>
      <c r="T151" s="165"/>
      <c r="U151" s="160"/>
      <c r="V151" s="160"/>
      <c r="W151" s="176"/>
    </row>
    <row r="152" spans="1:23" customFormat="1" ht="24" customHeight="1" x14ac:dyDescent="0.2">
      <c r="A152" s="71">
        <v>126</v>
      </c>
      <c r="B152" s="85" t="s">
        <v>310</v>
      </c>
      <c r="C152" s="71">
        <v>1884</v>
      </c>
      <c r="D152" s="60">
        <v>1</v>
      </c>
      <c r="E152" s="97" t="s">
        <v>311</v>
      </c>
      <c r="F152" s="60"/>
      <c r="G152" s="60"/>
      <c r="H152" s="60">
        <v>12</v>
      </c>
      <c r="I152" s="98"/>
      <c r="J152" s="60"/>
      <c r="K152" s="75">
        <f t="shared" si="2"/>
        <v>420.57000000000005</v>
      </c>
      <c r="L152" s="75">
        <f>419.23+0.86+0.48</f>
        <v>420.57000000000005</v>
      </c>
      <c r="M152" s="75"/>
      <c r="N152" s="147"/>
      <c r="O152" s="77"/>
      <c r="P152" s="148"/>
      <c r="Q152" s="84"/>
      <c r="R152" s="80" t="s">
        <v>440</v>
      </c>
      <c r="S152" s="148"/>
      <c r="T152" s="148">
        <v>24</v>
      </c>
      <c r="U152" s="146" t="s">
        <v>312</v>
      </c>
      <c r="V152" s="98">
        <v>1060</v>
      </c>
      <c r="W152" s="137" t="s">
        <v>618</v>
      </c>
    </row>
    <row r="153" spans="1:23" ht="24.75" customHeight="1" x14ac:dyDescent="0.2">
      <c r="A153" s="71">
        <v>127</v>
      </c>
      <c r="B153" s="85" t="s">
        <v>313</v>
      </c>
      <c r="C153" s="71"/>
      <c r="D153" s="60"/>
      <c r="E153" s="97"/>
      <c r="F153" s="60"/>
      <c r="G153" s="60"/>
      <c r="H153" s="60"/>
      <c r="I153" s="98"/>
      <c r="J153" s="60"/>
      <c r="K153" s="75">
        <f t="shared" si="2"/>
        <v>0</v>
      </c>
      <c r="L153" s="75"/>
      <c r="M153" s="75"/>
      <c r="N153" s="147"/>
      <c r="O153" s="77">
        <v>18</v>
      </c>
      <c r="P153" s="148">
        <v>1</v>
      </c>
      <c r="Q153" s="84"/>
      <c r="R153" s="80"/>
      <c r="S153" s="148"/>
      <c r="T153" s="148">
        <v>16</v>
      </c>
      <c r="U153" s="146" t="s">
        <v>314</v>
      </c>
      <c r="V153" s="98">
        <v>32</v>
      </c>
      <c r="W153" s="137" t="s">
        <v>693</v>
      </c>
    </row>
    <row r="154" spans="1:23" ht="16.899999999999999" customHeight="1" x14ac:dyDescent="0.2">
      <c r="A154" s="234">
        <v>128</v>
      </c>
      <c r="B154" s="236" t="s">
        <v>315</v>
      </c>
      <c r="C154" s="71">
        <v>1950</v>
      </c>
      <c r="D154" s="60">
        <v>1</v>
      </c>
      <c r="E154" s="97" t="s">
        <v>316</v>
      </c>
      <c r="F154" s="60"/>
      <c r="G154" s="60"/>
      <c r="H154" s="60">
        <v>1</v>
      </c>
      <c r="I154" s="98"/>
      <c r="J154" s="60"/>
      <c r="K154" s="75">
        <f t="shared" si="2"/>
        <v>94.18</v>
      </c>
      <c r="L154" s="75">
        <v>94.18</v>
      </c>
      <c r="M154" s="61"/>
      <c r="N154" s="62"/>
      <c r="O154" s="77"/>
      <c r="P154" s="148"/>
      <c r="Q154" s="84"/>
      <c r="R154" s="80"/>
      <c r="S154" s="148"/>
      <c r="T154" s="195">
        <v>16</v>
      </c>
      <c r="U154" s="97" t="s">
        <v>676</v>
      </c>
      <c r="V154" s="220">
        <v>1560</v>
      </c>
      <c r="W154" s="137" t="s">
        <v>619</v>
      </c>
    </row>
    <row r="155" spans="1:23" ht="16.899999999999999" customHeight="1" x14ac:dyDescent="0.2">
      <c r="A155" s="235"/>
      <c r="B155" s="237"/>
      <c r="C155" s="71"/>
      <c r="D155" s="60"/>
      <c r="E155" s="97"/>
      <c r="F155" s="60"/>
      <c r="G155" s="60"/>
      <c r="H155" s="60"/>
      <c r="I155" s="98"/>
      <c r="J155" s="60"/>
      <c r="K155" s="75"/>
      <c r="L155" s="75"/>
      <c r="M155" s="61"/>
      <c r="N155" s="62"/>
      <c r="O155" s="77"/>
      <c r="P155" s="148"/>
      <c r="Q155" s="84"/>
      <c r="R155" s="80"/>
      <c r="S155" s="148"/>
      <c r="T155" s="196"/>
      <c r="U155" s="97" t="s">
        <v>675</v>
      </c>
      <c r="V155" s="221"/>
      <c r="W155" s="137" t="s">
        <v>677</v>
      </c>
    </row>
    <row r="156" spans="1:23" s="70" customFormat="1" ht="16.149999999999999" customHeight="1" x14ac:dyDescent="0.2">
      <c r="A156" s="71">
        <v>129</v>
      </c>
      <c r="B156" s="85" t="s">
        <v>317</v>
      </c>
      <c r="C156" s="71">
        <v>1978</v>
      </c>
      <c r="D156" s="60">
        <v>1</v>
      </c>
      <c r="E156" s="97" t="s">
        <v>318</v>
      </c>
      <c r="F156" s="60">
        <v>1</v>
      </c>
      <c r="G156" s="60"/>
      <c r="H156" s="60">
        <v>62</v>
      </c>
      <c r="I156" s="98"/>
      <c r="J156" s="60"/>
      <c r="K156" s="75">
        <f t="shared" si="2"/>
        <v>2404.6800000000003</v>
      </c>
      <c r="L156" s="75">
        <f>2261.73-2.68</f>
        <v>2259.0500000000002</v>
      </c>
      <c r="M156" s="75">
        <f>358.55-97.92-115</f>
        <v>145.63</v>
      </c>
      <c r="N156" s="147">
        <v>4</v>
      </c>
      <c r="O156" s="77"/>
      <c r="P156" s="148"/>
      <c r="Q156" s="84"/>
      <c r="R156" s="80"/>
      <c r="S156" s="148"/>
      <c r="T156" s="148">
        <v>42</v>
      </c>
      <c r="U156" s="146" t="s">
        <v>319</v>
      </c>
      <c r="V156" s="98">
        <v>3123</v>
      </c>
      <c r="W156" s="137" t="s">
        <v>620</v>
      </c>
    </row>
    <row r="157" spans="1:23" customFormat="1" ht="22.9" customHeight="1" x14ac:dyDescent="0.2">
      <c r="A157" s="71">
        <v>130</v>
      </c>
      <c r="B157" s="85" t="s">
        <v>320</v>
      </c>
      <c r="C157" s="71">
        <v>1975</v>
      </c>
      <c r="D157" s="60">
        <v>1</v>
      </c>
      <c r="E157" s="97" t="s">
        <v>467</v>
      </c>
      <c r="F157" s="60"/>
      <c r="G157" s="60"/>
      <c r="H157" s="60">
        <v>6</v>
      </c>
      <c r="I157" s="98"/>
      <c r="J157" s="60"/>
      <c r="K157" s="75">
        <f t="shared" si="2"/>
        <v>240.11999999999998</v>
      </c>
      <c r="L157" s="75">
        <f>238.26+0.07+1.79</f>
        <v>240.11999999999998</v>
      </c>
      <c r="M157" s="75"/>
      <c r="N157" s="147"/>
      <c r="O157" s="77"/>
      <c r="P157" s="148"/>
      <c r="Q157" s="84"/>
      <c r="R157" s="80" t="s">
        <v>549</v>
      </c>
      <c r="S157" s="148"/>
      <c r="T157" s="148">
        <v>19</v>
      </c>
      <c r="U157" s="146" t="s">
        <v>321</v>
      </c>
      <c r="V157" s="98">
        <v>993</v>
      </c>
      <c r="W157" s="137" t="s">
        <v>694</v>
      </c>
    </row>
    <row r="158" spans="1:23" customFormat="1" ht="16.5" customHeight="1" x14ac:dyDescent="0.2">
      <c r="A158" s="71">
        <v>131</v>
      </c>
      <c r="B158" s="85" t="s">
        <v>322</v>
      </c>
      <c r="C158" s="71">
        <v>1975</v>
      </c>
      <c r="D158" s="60">
        <v>1</v>
      </c>
      <c r="E158" s="97" t="s">
        <v>323</v>
      </c>
      <c r="F158" s="60"/>
      <c r="G158" s="60"/>
      <c r="H158" s="60">
        <f>26-3</f>
        <v>23</v>
      </c>
      <c r="I158" s="98"/>
      <c r="J158" s="60"/>
      <c r="K158" s="75">
        <f t="shared" si="2"/>
        <v>701.53</v>
      </c>
      <c r="L158" s="75">
        <f>633.06+0.02+68.45</f>
        <v>701.53</v>
      </c>
      <c r="M158" s="149"/>
      <c r="N158" s="147"/>
      <c r="O158" s="77"/>
      <c r="P158" s="148"/>
      <c r="Q158" s="84"/>
      <c r="R158" s="80"/>
      <c r="S158" s="148"/>
      <c r="T158" s="148">
        <v>14</v>
      </c>
      <c r="U158" s="98" t="s">
        <v>324</v>
      </c>
      <c r="V158" s="98">
        <v>1501</v>
      </c>
      <c r="W158" s="137" t="s">
        <v>621</v>
      </c>
    </row>
    <row r="159" spans="1:23" ht="16.5" customHeight="1" x14ac:dyDescent="0.2">
      <c r="A159" s="71">
        <v>132</v>
      </c>
      <c r="B159" s="85" t="s">
        <v>325</v>
      </c>
      <c r="C159" s="71"/>
      <c r="D159" s="60"/>
      <c r="E159" s="97"/>
      <c r="F159" s="60"/>
      <c r="G159" s="60"/>
      <c r="H159" s="60"/>
      <c r="I159" s="98"/>
      <c r="J159" s="60"/>
      <c r="K159" s="75">
        <f t="shared" si="2"/>
        <v>0</v>
      </c>
      <c r="L159" s="75"/>
      <c r="M159" s="149"/>
      <c r="N159" s="147"/>
      <c r="O159" s="77">
        <v>35.35</v>
      </c>
      <c r="P159" s="148">
        <v>2</v>
      </c>
      <c r="Q159" s="84" t="s">
        <v>441</v>
      </c>
      <c r="R159" s="80"/>
      <c r="S159" s="148"/>
      <c r="T159" s="148">
        <v>14</v>
      </c>
      <c r="U159" s="98" t="s">
        <v>326</v>
      </c>
      <c r="V159" s="98">
        <v>37</v>
      </c>
      <c r="W159" s="137" t="s">
        <v>622</v>
      </c>
    </row>
    <row r="160" spans="1:23" ht="33.75" x14ac:dyDescent="0.2">
      <c r="A160" s="71">
        <v>133</v>
      </c>
      <c r="B160" s="85" t="s">
        <v>731</v>
      </c>
      <c r="C160" s="71">
        <v>1870</v>
      </c>
      <c r="D160" s="60">
        <v>1</v>
      </c>
      <c r="E160" s="97" t="s">
        <v>327</v>
      </c>
      <c r="F160" s="60"/>
      <c r="G160" s="60"/>
      <c r="H160" s="60">
        <v>4</v>
      </c>
      <c r="I160" s="98"/>
      <c r="J160" s="60"/>
      <c r="K160" s="75">
        <f t="shared" si="2"/>
        <v>234.98</v>
      </c>
      <c r="L160" s="75">
        <v>234.98</v>
      </c>
      <c r="M160" s="149"/>
      <c r="N160" s="147"/>
      <c r="O160" s="77">
        <v>40.049999999999997</v>
      </c>
      <c r="P160" s="148">
        <v>3</v>
      </c>
      <c r="Q160" s="84" t="s">
        <v>442</v>
      </c>
      <c r="R160" s="80"/>
      <c r="S160" s="148"/>
      <c r="T160" s="148">
        <v>21</v>
      </c>
      <c r="U160" s="153" t="s">
        <v>328</v>
      </c>
      <c r="V160" s="98">
        <v>428</v>
      </c>
      <c r="W160" s="137" t="s">
        <v>577</v>
      </c>
    </row>
    <row r="161" spans="1:23" ht="17.45" customHeight="1" x14ac:dyDescent="0.2">
      <c r="A161" s="159">
        <v>134</v>
      </c>
      <c r="B161" s="85" t="s">
        <v>732</v>
      </c>
      <c r="C161" s="71">
        <v>1905</v>
      </c>
      <c r="D161" s="60">
        <v>1</v>
      </c>
      <c r="E161" s="97" t="s">
        <v>329</v>
      </c>
      <c r="F161" s="60"/>
      <c r="G161" s="60"/>
      <c r="H161" s="60">
        <v>1</v>
      </c>
      <c r="I161" s="98"/>
      <c r="J161" s="60"/>
      <c r="K161" s="75">
        <f t="shared" si="2"/>
        <v>156.69999999999999</v>
      </c>
      <c r="L161" s="75">
        <v>65.31</v>
      </c>
      <c r="M161" s="149">
        <v>91.39</v>
      </c>
      <c r="N161" s="147">
        <v>1</v>
      </c>
      <c r="O161" s="77"/>
      <c r="P161" s="148"/>
      <c r="Q161" s="84"/>
      <c r="R161" s="80"/>
      <c r="S161" s="148"/>
      <c r="T161" s="164">
        <v>21</v>
      </c>
      <c r="U161" s="160">
        <v>128</v>
      </c>
      <c r="V161" s="160">
        <v>1026</v>
      </c>
      <c r="W161" s="175" t="s">
        <v>623</v>
      </c>
    </row>
    <row r="162" spans="1:23" s="70" customFormat="1" ht="45" x14ac:dyDescent="0.2">
      <c r="A162" s="159"/>
      <c r="B162" s="85" t="s">
        <v>330</v>
      </c>
      <c r="C162" s="71">
        <v>1870</v>
      </c>
      <c r="D162" s="149">
        <v>1</v>
      </c>
      <c r="E162" s="98"/>
      <c r="F162" s="60">
        <v>1</v>
      </c>
      <c r="G162" s="85" t="s">
        <v>468</v>
      </c>
      <c r="H162" s="60">
        <v>3</v>
      </c>
      <c r="I162" s="98"/>
      <c r="J162" s="60"/>
      <c r="K162" s="75">
        <f t="shared" si="2"/>
        <v>309.73</v>
      </c>
      <c r="L162" s="149">
        <f>106.74+44.05</f>
        <v>150.79</v>
      </c>
      <c r="M162" s="149">
        <f>161.36-0.68-1.74</f>
        <v>158.94</v>
      </c>
      <c r="N162" s="147">
        <v>2</v>
      </c>
      <c r="O162" s="77"/>
      <c r="P162" s="148"/>
      <c r="Q162" s="84"/>
      <c r="R162" s="80"/>
      <c r="S162" s="148"/>
      <c r="T162" s="165"/>
      <c r="U162" s="160"/>
      <c r="V162" s="160"/>
      <c r="W162" s="175"/>
    </row>
    <row r="163" spans="1:23" s="79" customFormat="1" ht="33.6" customHeight="1" x14ac:dyDescent="0.2">
      <c r="A163" s="159"/>
      <c r="B163" s="61" t="s">
        <v>331</v>
      </c>
      <c r="C163" s="71">
        <v>1885</v>
      </c>
      <c r="D163" s="60">
        <v>1</v>
      </c>
      <c r="E163" s="97" t="s">
        <v>332</v>
      </c>
      <c r="F163" s="60"/>
      <c r="G163" s="60"/>
      <c r="H163" s="60">
        <v>6</v>
      </c>
      <c r="I163" s="98">
        <f>1+1</f>
        <v>2</v>
      </c>
      <c r="J163" s="60">
        <v>49.71</v>
      </c>
      <c r="K163" s="75">
        <f t="shared" si="2"/>
        <v>427.57</v>
      </c>
      <c r="L163" s="75">
        <v>315.74</v>
      </c>
      <c r="M163" s="75">
        <v>111.83</v>
      </c>
      <c r="N163" s="147">
        <v>1</v>
      </c>
      <c r="O163" s="77"/>
      <c r="P163" s="148"/>
      <c r="Q163" s="84"/>
      <c r="R163" s="80" t="s">
        <v>460</v>
      </c>
      <c r="S163" s="148"/>
      <c r="T163" s="165"/>
      <c r="U163" s="160"/>
      <c r="V163" s="160"/>
      <c r="W163" s="175"/>
    </row>
    <row r="164" spans="1:23" ht="32.25" customHeight="1" x14ac:dyDescent="0.2">
      <c r="A164" s="71">
        <v>135</v>
      </c>
      <c r="B164" s="85" t="s">
        <v>333</v>
      </c>
      <c r="C164" s="71">
        <v>1880</v>
      </c>
      <c r="D164" s="60">
        <v>1</v>
      </c>
      <c r="E164" s="97" t="s">
        <v>334</v>
      </c>
      <c r="F164" s="60"/>
      <c r="G164" s="60"/>
      <c r="H164" s="60">
        <v>4</v>
      </c>
      <c r="I164" s="98"/>
      <c r="J164" s="60"/>
      <c r="K164" s="75">
        <f t="shared" si="2"/>
        <v>254.42000000000002</v>
      </c>
      <c r="L164" s="75">
        <v>254.42000000000002</v>
      </c>
      <c r="M164" s="149"/>
      <c r="N164" s="147"/>
      <c r="O164" s="77"/>
      <c r="P164" s="148"/>
      <c r="Q164" s="84"/>
      <c r="R164" s="80"/>
      <c r="S164" s="148" t="s">
        <v>443</v>
      </c>
      <c r="T164" s="148">
        <v>21</v>
      </c>
      <c r="U164" s="153" t="s">
        <v>335</v>
      </c>
      <c r="V164" s="98">
        <v>534</v>
      </c>
      <c r="W164" s="137" t="s">
        <v>513</v>
      </c>
    </row>
    <row r="165" spans="1:23" s="5" customFormat="1" ht="34.9" customHeight="1" x14ac:dyDescent="0.2">
      <c r="A165" s="71">
        <v>136</v>
      </c>
      <c r="B165" s="85" t="s">
        <v>733</v>
      </c>
      <c r="C165" s="71" t="s">
        <v>336</v>
      </c>
      <c r="D165" s="60">
        <v>2</v>
      </c>
      <c r="E165" s="97" t="s">
        <v>337</v>
      </c>
      <c r="F165" s="60"/>
      <c r="G165" s="60"/>
      <c r="H165" s="60">
        <f>6-1+1</f>
        <v>6</v>
      </c>
      <c r="I165" s="98"/>
      <c r="J165" s="60"/>
      <c r="K165" s="75">
        <f t="shared" si="2"/>
        <v>271.28999999999996</v>
      </c>
      <c r="L165" s="75">
        <f>270.02-37.55+38.82</f>
        <v>271.28999999999996</v>
      </c>
      <c r="M165" s="149"/>
      <c r="N165" s="147"/>
      <c r="O165" s="77"/>
      <c r="P165" s="148"/>
      <c r="Q165" s="84"/>
      <c r="R165" s="80" t="s">
        <v>545</v>
      </c>
      <c r="S165" s="148"/>
      <c r="T165" s="148">
        <v>21</v>
      </c>
      <c r="U165" s="98">
        <v>77</v>
      </c>
      <c r="V165" s="98">
        <v>530</v>
      </c>
      <c r="W165" s="137" t="s">
        <v>624</v>
      </c>
    </row>
    <row r="166" spans="1:23" ht="16.899999999999999" customHeight="1" x14ac:dyDescent="0.2">
      <c r="A166" s="71">
        <v>137</v>
      </c>
      <c r="B166" s="85" t="s">
        <v>338</v>
      </c>
      <c r="C166" s="71">
        <v>1905</v>
      </c>
      <c r="D166" s="60">
        <v>1</v>
      </c>
      <c r="E166" s="97" t="s">
        <v>339</v>
      </c>
      <c r="F166" s="60"/>
      <c r="G166" s="60"/>
      <c r="H166" s="60">
        <v>10</v>
      </c>
      <c r="I166" s="98"/>
      <c r="J166" s="60"/>
      <c r="K166" s="75">
        <f t="shared" si="2"/>
        <v>385.54</v>
      </c>
      <c r="L166" s="75">
        <v>385.54</v>
      </c>
      <c r="M166" s="149"/>
      <c r="N166" s="147"/>
      <c r="O166" s="77"/>
      <c r="P166" s="148"/>
      <c r="Q166" s="84"/>
      <c r="R166" s="80"/>
      <c r="S166" s="148"/>
      <c r="T166" s="148">
        <v>21</v>
      </c>
      <c r="U166" s="98" t="s">
        <v>340</v>
      </c>
      <c r="V166" s="98">
        <v>173</v>
      </c>
      <c r="W166" s="137" t="s">
        <v>625</v>
      </c>
    </row>
    <row r="167" spans="1:23" ht="33.6" customHeight="1" x14ac:dyDescent="0.2">
      <c r="A167" s="71">
        <v>138</v>
      </c>
      <c r="B167" s="85" t="s">
        <v>341</v>
      </c>
      <c r="C167" s="71" t="s">
        <v>342</v>
      </c>
      <c r="D167" s="60">
        <v>2</v>
      </c>
      <c r="E167" s="97" t="s">
        <v>629</v>
      </c>
      <c r="F167" s="60"/>
      <c r="G167" s="60"/>
      <c r="H167" s="60">
        <v>8</v>
      </c>
      <c r="I167" s="98"/>
      <c r="J167" s="60"/>
      <c r="K167" s="75">
        <f t="shared" si="2"/>
        <v>442.78</v>
      </c>
      <c r="L167" s="75">
        <v>327.08999999999997</v>
      </c>
      <c r="M167" s="75">
        <v>115.69</v>
      </c>
      <c r="N167" s="147">
        <v>1</v>
      </c>
      <c r="O167" s="77"/>
      <c r="P167" s="148"/>
      <c r="Q167" s="84"/>
      <c r="R167" s="80"/>
      <c r="S167" s="148"/>
      <c r="T167" s="148">
        <v>21</v>
      </c>
      <c r="U167" s="98" t="s">
        <v>343</v>
      </c>
      <c r="V167" s="146">
        <v>397</v>
      </c>
      <c r="W167" s="137" t="s">
        <v>628</v>
      </c>
    </row>
    <row r="168" spans="1:23" s="70" customFormat="1" ht="33.6" customHeight="1" x14ac:dyDescent="0.2">
      <c r="A168" s="71">
        <v>139</v>
      </c>
      <c r="B168" s="85" t="s">
        <v>344</v>
      </c>
      <c r="C168" s="71">
        <v>1880</v>
      </c>
      <c r="D168" s="60">
        <v>1</v>
      </c>
      <c r="E168" s="97" t="s">
        <v>444</v>
      </c>
      <c r="F168" s="60"/>
      <c r="G168" s="60"/>
      <c r="H168" s="60">
        <v>10</v>
      </c>
      <c r="I168" s="98"/>
      <c r="J168" s="60"/>
      <c r="K168" s="75">
        <f t="shared" si="2"/>
        <v>515.76</v>
      </c>
      <c r="L168" s="75">
        <v>472.84</v>
      </c>
      <c r="M168" s="75">
        <v>42.92</v>
      </c>
      <c r="N168" s="147">
        <v>2</v>
      </c>
      <c r="O168" s="77"/>
      <c r="P168" s="148"/>
      <c r="Q168" s="84"/>
      <c r="R168" s="84"/>
      <c r="S168" s="148"/>
      <c r="T168" s="148">
        <v>21</v>
      </c>
      <c r="U168" s="98">
        <v>184</v>
      </c>
      <c r="V168" s="146">
        <v>800</v>
      </c>
      <c r="W168" s="137" t="s">
        <v>740</v>
      </c>
    </row>
    <row r="169" spans="1:23" s="70" customFormat="1" ht="22.5" x14ac:dyDescent="0.2">
      <c r="A169" s="71">
        <v>140</v>
      </c>
      <c r="B169" s="85" t="s">
        <v>734</v>
      </c>
      <c r="C169" s="71">
        <v>1901</v>
      </c>
      <c r="D169" s="60">
        <v>1</v>
      </c>
      <c r="E169" s="97" t="s">
        <v>345</v>
      </c>
      <c r="F169" s="60"/>
      <c r="G169" s="60"/>
      <c r="H169" s="60">
        <f>6-1</f>
        <v>5</v>
      </c>
      <c r="I169" s="98">
        <f>4+1</f>
        <v>5</v>
      </c>
      <c r="J169" s="60">
        <f>111.77+30.6</f>
        <v>142.37</v>
      </c>
      <c r="K169" s="75">
        <f t="shared" si="2"/>
        <v>154.58000000000001</v>
      </c>
      <c r="L169" s="75">
        <f>184.84+0.34-30.6</f>
        <v>154.58000000000001</v>
      </c>
      <c r="M169" s="149"/>
      <c r="N169" s="147"/>
      <c r="O169" s="77"/>
      <c r="P169" s="148"/>
      <c r="Q169" s="84"/>
      <c r="R169" s="80" t="s">
        <v>469</v>
      </c>
      <c r="S169" s="148"/>
      <c r="T169" s="148">
        <v>14</v>
      </c>
      <c r="U169" s="98">
        <v>589</v>
      </c>
      <c r="V169" s="98">
        <v>1420</v>
      </c>
      <c r="W169" s="137" t="s">
        <v>514</v>
      </c>
    </row>
    <row r="170" spans="1:23" ht="15.6" customHeight="1" x14ac:dyDescent="0.2">
      <c r="A170" s="71">
        <v>141</v>
      </c>
      <c r="B170" s="85" t="s">
        <v>346</v>
      </c>
      <c r="C170" s="71"/>
      <c r="D170" s="60"/>
      <c r="E170" s="97"/>
      <c r="F170" s="60"/>
      <c r="G170" s="60"/>
      <c r="H170" s="60"/>
      <c r="I170" s="98"/>
      <c r="J170" s="60"/>
      <c r="K170" s="75">
        <f t="shared" si="2"/>
        <v>0</v>
      </c>
      <c r="L170" s="75"/>
      <c r="M170" s="149"/>
      <c r="N170" s="147"/>
      <c r="O170" s="77">
        <v>18</v>
      </c>
      <c r="P170" s="148">
        <v>1</v>
      </c>
      <c r="Q170" s="84" t="s">
        <v>445</v>
      </c>
      <c r="R170" s="96"/>
      <c r="S170" s="148"/>
      <c r="T170" s="148">
        <v>21</v>
      </c>
      <c r="U170" s="98" t="s">
        <v>347</v>
      </c>
      <c r="V170" s="98">
        <v>18</v>
      </c>
      <c r="W170" s="137" t="s">
        <v>626</v>
      </c>
    </row>
    <row r="171" spans="1:23" customFormat="1" ht="16.149999999999999" customHeight="1" x14ac:dyDescent="0.2">
      <c r="A171" s="71">
        <v>142</v>
      </c>
      <c r="B171" s="85" t="s">
        <v>348</v>
      </c>
      <c r="C171" s="71">
        <v>1932</v>
      </c>
      <c r="D171" s="60">
        <v>1</v>
      </c>
      <c r="E171" s="97" t="s">
        <v>447</v>
      </c>
      <c r="F171" s="60"/>
      <c r="G171" s="60"/>
      <c r="H171" s="60">
        <v>6</v>
      </c>
      <c r="I171" s="98"/>
      <c r="J171" s="60"/>
      <c r="K171" s="75">
        <f t="shared" si="2"/>
        <v>263.84000000000003</v>
      </c>
      <c r="L171" s="75">
        <f>262.73+1.11</f>
        <v>263.84000000000003</v>
      </c>
      <c r="M171" s="149"/>
      <c r="N171" s="147"/>
      <c r="O171" s="77">
        <v>24</v>
      </c>
      <c r="P171" s="148">
        <v>1</v>
      </c>
      <c r="Q171" s="84" t="s">
        <v>470</v>
      </c>
      <c r="R171" s="80" t="s">
        <v>446</v>
      </c>
      <c r="S171" s="148"/>
      <c r="T171" s="148">
        <v>32</v>
      </c>
      <c r="U171" s="98">
        <v>30</v>
      </c>
      <c r="V171" s="98">
        <v>513</v>
      </c>
      <c r="W171" s="137" t="s">
        <v>627</v>
      </c>
    </row>
    <row r="172" spans="1:23" s="83" customFormat="1" ht="21.75" customHeight="1" x14ac:dyDescent="0.2">
      <c r="A172" s="81"/>
      <c r="B172" s="82" t="s">
        <v>349</v>
      </c>
      <c r="C172" s="82"/>
      <c r="D172" s="113">
        <f>SUM(D7:D171)</f>
        <v>210</v>
      </c>
      <c r="E172" s="114"/>
      <c r="F172" s="113">
        <f>SUM(F7:F171)</f>
        <v>19</v>
      </c>
      <c r="G172" s="113"/>
      <c r="H172" s="113">
        <f t="shared" ref="H172:P172" si="3">SUM(H7:H171)</f>
        <v>1728</v>
      </c>
      <c r="I172" s="113">
        <f t="shared" si="3"/>
        <v>164</v>
      </c>
      <c r="J172" s="115">
        <f t="shared" si="3"/>
        <v>5287.3200000000006</v>
      </c>
      <c r="K172" s="115">
        <f t="shared" si="3"/>
        <v>79958.949999999953</v>
      </c>
      <c r="L172" s="115">
        <f t="shared" si="3"/>
        <v>72655.209999999934</v>
      </c>
      <c r="M172" s="115">
        <f>SUM(M7:M171)</f>
        <v>7867.4099999999989</v>
      </c>
      <c r="N172" s="116">
        <f t="shared" si="3"/>
        <v>129</v>
      </c>
      <c r="O172" s="115">
        <f t="shared" si="3"/>
        <v>1662.9599999999998</v>
      </c>
      <c r="P172" s="116">
        <f t="shared" si="3"/>
        <v>98</v>
      </c>
      <c r="Q172" s="117"/>
      <c r="R172" s="117"/>
      <c r="S172" s="116"/>
      <c r="T172" s="116"/>
      <c r="U172" s="114"/>
      <c r="V172" s="114"/>
      <c r="W172" s="118"/>
    </row>
    <row r="173" spans="1:23" s="18" customFormat="1" ht="15.6" customHeight="1" x14ac:dyDescent="0.2">
      <c r="A173" s="53"/>
      <c r="B173" s="8"/>
      <c r="C173" s="9"/>
      <c r="D173" s="10"/>
      <c r="E173" s="8"/>
      <c r="F173" s="10"/>
      <c r="G173" s="10"/>
      <c r="H173" s="10"/>
      <c r="I173" s="48"/>
      <c r="J173" s="141"/>
      <c r="K173" s="11"/>
      <c r="L173" s="126"/>
      <c r="M173" s="12">
        <f>SUM(M7:M172)</f>
        <v>15734.819999999998</v>
      </c>
      <c r="N173" s="13"/>
      <c r="O173" s="14"/>
      <c r="P173" s="15"/>
      <c r="Q173" s="42"/>
      <c r="R173" s="42"/>
      <c r="S173" s="42"/>
      <c r="T173" s="42"/>
      <c r="U173" s="8"/>
      <c r="V173" s="16"/>
      <c r="W173" s="17"/>
    </row>
    <row r="174" spans="1:23" ht="21.75" customHeight="1" x14ac:dyDescent="0.2">
      <c r="A174" s="54"/>
      <c r="B174" s="63" t="s">
        <v>350</v>
      </c>
      <c r="C174" s="19"/>
      <c r="D174" s="200">
        <f>L172</f>
        <v>72655.209999999934</v>
      </c>
      <c r="E174" s="201"/>
      <c r="F174" s="133"/>
      <c r="G174" s="202" t="s">
        <v>350</v>
      </c>
      <c r="H174" s="203"/>
      <c r="I174" s="203"/>
      <c r="J174" s="204">
        <f>D174</f>
        <v>72655.209999999934</v>
      </c>
      <c r="K174" s="204"/>
      <c r="L174" s="204"/>
      <c r="M174" s="20"/>
      <c r="N174" s="21"/>
      <c r="O174" s="20"/>
      <c r="P174" s="21"/>
      <c r="Q174" s="43"/>
      <c r="R174" s="46"/>
      <c r="S174" s="43"/>
      <c r="T174" s="43"/>
      <c r="U174" s="20"/>
      <c r="V174" s="22"/>
      <c r="W174" s="23"/>
    </row>
    <row r="175" spans="1:23" ht="29.25" customHeight="1" x14ac:dyDescent="0.2">
      <c r="A175" s="55"/>
      <c r="B175" s="64" t="s">
        <v>351</v>
      </c>
      <c r="C175" s="145"/>
      <c r="D175" s="224">
        <f>J172</f>
        <v>5287.3200000000006</v>
      </c>
      <c r="E175" s="193"/>
      <c r="F175" s="134"/>
      <c r="G175" s="222" t="s">
        <v>352</v>
      </c>
      <c r="H175" s="223"/>
      <c r="I175" s="223"/>
      <c r="J175" s="212">
        <f>D177</f>
        <v>7867.4099999999989</v>
      </c>
      <c r="K175" s="212"/>
      <c r="L175" s="212"/>
      <c r="M175" s="25"/>
      <c r="N175" s="26"/>
      <c r="O175" s="25"/>
      <c r="P175" s="26"/>
      <c r="Q175" s="44"/>
      <c r="R175" s="47"/>
      <c r="S175" s="44"/>
      <c r="T175" s="44"/>
      <c r="U175" s="25"/>
      <c r="V175" s="27"/>
    </row>
    <row r="176" spans="1:23" ht="19.5" customHeight="1" x14ac:dyDescent="0.2">
      <c r="A176" s="55"/>
      <c r="B176" s="64" t="s">
        <v>353</v>
      </c>
      <c r="C176" s="24"/>
      <c r="D176" s="224">
        <f>D174+D175</f>
        <v>77942.529999999941</v>
      </c>
      <c r="E176" s="225"/>
      <c r="F176" s="134"/>
      <c r="G176" s="197" t="s">
        <v>656</v>
      </c>
      <c r="H176" s="198"/>
      <c r="I176" s="198"/>
      <c r="J176" s="199">
        <f>SUM(J174:J175)</f>
        <v>80522.619999999937</v>
      </c>
      <c r="K176" s="199"/>
      <c r="L176" s="199"/>
      <c r="M176" s="25"/>
      <c r="N176" s="26"/>
      <c r="O176" s="25"/>
      <c r="P176" s="26"/>
      <c r="Q176" s="44"/>
      <c r="R176" s="47"/>
      <c r="S176" s="44"/>
      <c r="T176" s="44"/>
      <c r="U176" s="25"/>
      <c r="V176" s="27"/>
    </row>
    <row r="177" spans="1:23" ht="23.25" customHeight="1" x14ac:dyDescent="0.2">
      <c r="A177" s="56"/>
      <c r="B177" s="63" t="s">
        <v>354</v>
      </c>
      <c r="C177" s="28"/>
      <c r="D177" s="187">
        <f>M172</f>
        <v>7867.4099999999989</v>
      </c>
      <c r="E177" s="188"/>
      <c r="F177" s="29"/>
      <c r="G177" s="227"/>
      <c r="H177" s="219"/>
      <c r="I177" s="49"/>
      <c r="J177" s="142"/>
      <c r="K177" s="20"/>
      <c r="L177" s="127"/>
      <c r="M177" s="20"/>
      <c r="N177" s="21"/>
      <c r="O177" s="20"/>
      <c r="P177" s="21"/>
      <c r="Q177" s="43"/>
      <c r="R177" s="46"/>
      <c r="S177" s="43"/>
      <c r="T177" s="43"/>
      <c r="U177" s="20"/>
      <c r="V177" s="22"/>
      <c r="W177" s="23"/>
    </row>
    <row r="178" spans="1:23" ht="29.25" x14ac:dyDescent="0.2">
      <c r="A178" s="55"/>
      <c r="B178" s="64" t="s">
        <v>355</v>
      </c>
      <c r="C178" s="24"/>
      <c r="D178" s="224">
        <v>1193.53</v>
      </c>
      <c r="E178" s="224"/>
      <c r="F178" s="30"/>
      <c r="G178" s="218"/>
      <c r="H178" s="219"/>
      <c r="I178" s="50"/>
      <c r="J178" s="143"/>
      <c r="K178" s="25"/>
      <c r="L178" s="128"/>
      <c r="M178" s="25"/>
      <c r="N178" s="26"/>
      <c r="O178" s="25"/>
      <c r="P178" s="26"/>
      <c r="Q178" s="44"/>
      <c r="R178" s="47"/>
      <c r="S178" s="44"/>
      <c r="T178" s="72"/>
      <c r="U178" s="25"/>
      <c r="V178" s="27"/>
    </row>
    <row r="179" spans="1:23" ht="19.5" x14ac:dyDescent="0.2">
      <c r="A179" s="55"/>
      <c r="B179" s="64" t="s">
        <v>356</v>
      </c>
      <c r="C179" s="31"/>
      <c r="D179" s="215">
        <f>D177+D178</f>
        <v>9060.9399999999987</v>
      </c>
      <c r="E179" s="216"/>
      <c r="F179" s="30"/>
      <c r="G179" s="32"/>
      <c r="H179"/>
      <c r="I179" s="50"/>
      <c r="J179" s="143"/>
      <c r="K179" s="25"/>
      <c r="L179" s="128"/>
      <c r="M179" s="25"/>
      <c r="N179" s="26"/>
      <c r="O179" s="25"/>
      <c r="P179" s="26"/>
      <c r="Q179" s="44"/>
      <c r="R179" s="47"/>
      <c r="S179" s="44"/>
      <c r="T179" s="44"/>
      <c r="U179" s="25"/>
      <c r="V179" s="27"/>
    </row>
    <row r="180" spans="1:23" ht="18.75" x14ac:dyDescent="0.2">
      <c r="A180" s="55"/>
      <c r="B180" s="111" t="s">
        <v>357</v>
      </c>
      <c r="C180" s="112"/>
      <c r="D180" s="217">
        <f>D176+D179</f>
        <v>87003.469999999943</v>
      </c>
      <c r="E180" s="217"/>
      <c r="F180" s="33"/>
      <c r="G180" s="218"/>
      <c r="H180" s="219"/>
      <c r="L180" s="129"/>
    </row>
    <row r="181" spans="1:23" x14ac:dyDescent="0.2">
      <c r="A181" s="55"/>
      <c r="B181" s="65" t="s">
        <v>358</v>
      </c>
      <c r="C181" s="34"/>
      <c r="D181" s="226" t="s">
        <v>359</v>
      </c>
      <c r="E181" s="194"/>
      <c r="F181" s="186" t="s">
        <v>360</v>
      </c>
      <c r="G181" s="180"/>
      <c r="H181" s="132" t="s">
        <v>361</v>
      </c>
      <c r="L181" s="129"/>
    </row>
    <row r="182" spans="1:23" x14ac:dyDescent="0.2">
      <c r="A182" s="57"/>
      <c r="B182" s="66"/>
      <c r="C182" s="36"/>
      <c r="D182" s="193">
        <f>D172</f>
        <v>210</v>
      </c>
      <c r="E182" s="194"/>
      <c r="F182" s="179">
        <f>F172</f>
        <v>19</v>
      </c>
      <c r="G182" s="180"/>
      <c r="H182" s="132">
        <f>D182+F182</f>
        <v>229</v>
      </c>
      <c r="L182" s="129"/>
    </row>
    <row r="183" spans="1:23" ht="21" customHeight="1" x14ac:dyDescent="0.2">
      <c r="A183" s="57"/>
      <c r="B183" s="67" t="s">
        <v>362</v>
      </c>
      <c r="C183" s="36"/>
      <c r="D183" s="211" t="s">
        <v>363</v>
      </c>
      <c r="E183" s="194"/>
      <c r="F183" s="179" t="s">
        <v>364</v>
      </c>
      <c r="G183" s="179"/>
      <c r="H183" s="132" t="s">
        <v>361</v>
      </c>
      <c r="L183" s="129"/>
    </row>
    <row r="184" spans="1:23" x14ac:dyDescent="0.2">
      <c r="A184" s="57"/>
      <c r="B184" s="67" t="s">
        <v>359</v>
      </c>
      <c r="C184" s="36"/>
      <c r="D184" s="211">
        <f>H172</f>
        <v>1728</v>
      </c>
      <c r="E184" s="194"/>
      <c r="F184" s="211">
        <f>I172</f>
        <v>164</v>
      </c>
      <c r="G184" s="194"/>
      <c r="H184" s="132">
        <f>D184+F184</f>
        <v>1892</v>
      </c>
      <c r="I184"/>
      <c r="J184" s="144"/>
      <c r="L184" s="129"/>
    </row>
    <row r="185" spans="1:23" x14ac:dyDescent="0.2">
      <c r="A185" s="57"/>
      <c r="B185" s="68" t="s">
        <v>360</v>
      </c>
      <c r="C185" s="37"/>
      <c r="D185" s="210">
        <f>N172</f>
        <v>129</v>
      </c>
      <c r="E185" s="194"/>
      <c r="F185" s="210">
        <v>15</v>
      </c>
      <c r="G185" s="211"/>
      <c r="H185" s="135">
        <f>D185+F185</f>
        <v>144</v>
      </c>
      <c r="L185" s="129"/>
    </row>
    <row r="186" spans="1:23" ht="12" customHeight="1" x14ac:dyDescent="0.2">
      <c r="A186" s="40"/>
      <c r="B186" s="38"/>
      <c r="C186" s="39"/>
      <c r="D186" s="6"/>
      <c r="E186" s="38"/>
      <c r="F186" s="6"/>
      <c r="G186" s="6"/>
      <c r="H186" s="6"/>
      <c r="I186" s="51"/>
      <c r="K186" s="6"/>
      <c r="M186" s="6"/>
      <c r="N186" s="6"/>
      <c r="O186" s="6"/>
      <c r="P186" s="6"/>
      <c r="Q186" s="35"/>
      <c r="R186" s="7"/>
      <c r="S186" s="35"/>
      <c r="T186" s="35"/>
      <c r="U186" s="6"/>
      <c r="V186" s="6"/>
    </row>
    <row r="187" spans="1:23" x14ac:dyDescent="0.2">
      <c r="A187" s="40"/>
      <c r="B187" s="38"/>
      <c r="C187" s="39"/>
      <c r="D187" s="6"/>
      <c r="E187" s="38"/>
      <c r="F187" s="6"/>
      <c r="G187" s="6"/>
      <c r="H187" s="6"/>
      <c r="I187" s="51"/>
      <c r="K187" s="6"/>
      <c r="M187" s="6"/>
      <c r="N187" s="6"/>
      <c r="O187" s="6"/>
      <c r="P187" s="6"/>
      <c r="Q187" s="35"/>
      <c r="R187" s="7"/>
      <c r="S187" s="35"/>
      <c r="T187" s="35"/>
      <c r="U187" s="6"/>
      <c r="V187" s="6"/>
    </row>
    <row r="188" spans="1:23" ht="12.75" customHeight="1" x14ac:dyDescent="0.2">
      <c r="A188" s="35"/>
      <c r="B188" s="240" t="s">
        <v>24</v>
      </c>
      <c r="C188" s="240"/>
      <c r="D188" s="240"/>
      <c r="E188" s="240"/>
      <c r="F188" s="240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</row>
    <row r="189" spans="1:23" ht="21" customHeight="1" x14ac:dyDescent="0.2"/>
    <row r="191" spans="1:23" customFormat="1" ht="21.6" customHeight="1" x14ac:dyDescent="0.2">
      <c r="A191" s="52"/>
      <c r="B191" s="1"/>
      <c r="C191" s="2"/>
      <c r="D191" s="1"/>
      <c r="E191" s="1"/>
      <c r="F191" s="1"/>
      <c r="G191" s="1"/>
      <c r="H191" s="1"/>
      <c r="I191" s="4"/>
      <c r="J191" s="79"/>
      <c r="K191" s="1"/>
      <c r="L191" s="79"/>
      <c r="M191" s="1"/>
      <c r="N191" s="3"/>
      <c r="O191" s="1"/>
      <c r="P191" s="3"/>
      <c r="Q191" s="41"/>
      <c r="R191" s="45"/>
      <c r="S191" s="41"/>
      <c r="T191" s="41"/>
      <c r="U191" s="1"/>
      <c r="V191" s="4"/>
      <c r="W191" s="1"/>
    </row>
    <row r="194" spans="1:23" ht="34.9" customHeight="1" x14ac:dyDescent="0.2"/>
    <row r="196" spans="1:23" ht="26.45" customHeight="1" x14ac:dyDescent="0.2"/>
    <row r="198" spans="1:23" ht="25.9" customHeight="1" x14ac:dyDescent="0.2"/>
    <row r="199" spans="1:23" ht="12.75" customHeight="1" x14ac:dyDescent="0.2"/>
    <row r="200" spans="1:23" ht="38.25" customHeight="1" x14ac:dyDescent="0.2"/>
    <row r="201" spans="1:23" ht="12.75" customHeight="1" x14ac:dyDescent="0.2"/>
    <row r="202" spans="1:23" s="79" customFormat="1" ht="22.9" customHeight="1" x14ac:dyDescent="0.2">
      <c r="A202" s="52"/>
      <c r="B202" s="1"/>
      <c r="C202" s="2"/>
      <c r="D202" s="1"/>
      <c r="E202" s="1"/>
      <c r="F202" s="1"/>
      <c r="G202" s="1"/>
      <c r="H202" s="1"/>
      <c r="I202" s="4"/>
      <c r="K202" s="1"/>
      <c r="M202" s="1"/>
      <c r="N202" s="3"/>
      <c r="O202" s="1"/>
      <c r="P202" s="3"/>
      <c r="Q202" s="41"/>
      <c r="R202" s="45"/>
      <c r="S202" s="41"/>
      <c r="T202" s="41"/>
      <c r="U202" s="1"/>
      <c r="V202" s="4"/>
      <c r="W202" s="1"/>
    </row>
    <row r="204" spans="1:23" s="79" customFormat="1" ht="24" customHeight="1" x14ac:dyDescent="0.2">
      <c r="A204" s="52"/>
      <c r="B204" s="1"/>
      <c r="C204" s="2"/>
      <c r="D204" s="1"/>
      <c r="E204" s="1"/>
      <c r="F204" s="1"/>
      <c r="G204" s="1"/>
      <c r="H204" s="1"/>
      <c r="I204" s="4"/>
      <c r="K204" s="1"/>
      <c r="M204" s="1"/>
      <c r="N204" s="3"/>
      <c r="O204" s="1"/>
      <c r="P204" s="3"/>
      <c r="Q204" s="41"/>
      <c r="R204" s="45"/>
      <c r="S204" s="41"/>
      <c r="T204" s="41"/>
      <c r="U204" s="1"/>
      <c r="V204" s="4"/>
      <c r="W204" s="1"/>
    </row>
    <row r="205" spans="1:23" ht="16.149999999999999" customHeight="1" x14ac:dyDescent="0.2"/>
    <row r="206" spans="1:23" customFormat="1" ht="22.5" customHeight="1" x14ac:dyDescent="0.2">
      <c r="A206" s="52"/>
      <c r="B206" s="1"/>
      <c r="C206" s="2"/>
      <c r="D206" s="1"/>
      <c r="E206" s="1"/>
      <c r="F206" s="1"/>
      <c r="G206" s="1"/>
      <c r="H206" s="1"/>
      <c r="I206" s="4"/>
      <c r="J206" s="79"/>
      <c r="K206" s="1"/>
      <c r="L206" s="79"/>
      <c r="M206" s="1"/>
      <c r="N206" s="3"/>
      <c r="O206" s="1"/>
      <c r="P206" s="3"/>
      <c r="Q206" s="41"/>
      <c r="R206" s="45"/>
      <c r="S206" s="41"/>
      <c r="T206" s="41"/>
      <c r="U206" s="1"/>
      <c r="V206" s="4"/>
      <c r="W206" s="1"/>
    </row>
    <row r="207" spans="1:23" ht="18.75" customHeight="1" x14ac:dyDescent="0.2"/>
    <row r="208" spans="1:23" s="86" customFormat="1" ht="25.5" customHeight="1" x14ac:dyDescent="0.2">
      <c r="A208" s="52"/>
      <c r="B208" s="1"/>
      <c r="C208" s="2"/>
      <c r="D208" s="1"/>
      <c r="E208" s="1"/>
      <c r="F208" s="1"/>
      <c r="G208" s="1"/>
      <c r="H208" s="1"/>
      <c r="I208" s="4"/>
      <c r="J208" s="79"/>
      <c r="K208" s="1"/>
      <c r="L208" s="79"/>
      <c r="M208" s="1"/>
      <c r="N208" s="3"/>
      <c r="O208" s="1"/>
      <c r="P208" s="3"/>
      <c r="Q208" s="41"/>
      <c r="R208" s="45"/>
      <c r="S208" s="41"/>
      <c r="T208" s="41"/>
      <c r="U208" s="1"/>
      <c r="V208" s="4"/>
      <c r="W208" s="1"/>
    </row>
    <row r="210" spans="1:59" customFormat="1" ht="18.399999999999999" customHeight="1" x14ac:dyDescent="0.2">
      <c r="A210" s="52"/>
      <c r="B210" s="1"/>
      <c r="C210" s="2"/>
      <c r="D210" s="1"/>
      <c r="E210" s="1"/>
      <c r="F210" s="1"/>
      <c r="G210" s="1"/>
      <c r="H210" s="1"/>
      <c r="I210" s="4"/>
      <c r="J210" s="79"/>
      <c r="K210" s="1"/>
      <c r="L210" s="79"/>
      <c r="M210" s="1"/>
      <c r="N210" s="3"/>
      <c r="O210" s="1"/>
      <c r="P210" s="3"/>
      <c r="Q210" s="41"/>
      <c r="R210" s="45"/>
      <c r="S210" s="41"/>
      <c r="T210" s="41"/>
      <c r="U210" s="1"/>
      <c r="V210" s="4"/>
      <c r="W210" s="1"/>
    </row>
    <row r="212" spans="1:59" s="70" customFormat="1" ht="34.15" customHeight="1" x14ac:dyDescent="0.2">
      <c r="A212" s="52"/>
      <c r="B212" s="1"/>
      <c r="C212" s="2"/>
      <c r="D212" s="1"/>
      <c r="E212" s="1"/>
      <c r="F212" s="1"/>
      <c r="G212" s="1"/>
      <c r="H212" s="1"/>
      <c r="I212" s="4"/>
      <c r="J212" s="79"/>
      <c r="K212" s="1"/>
      <c r="L212" s="79"/>
      <c r="M212" s="1"/>
      <c r="N212" s="3"/>
      <c r="O212" s="1"/>
      <c r="P212" s="3"/>
      <c r="Q212" s="41"/>
      <c r="R212" s="45"/>
      <c r="S212" s="41"/>
      <c r="T212" s="41"/>
      <c r="U212" s="1"/>
      <c r="V212" s="4"/>
      <c r="W212" s="1"/>
    </row>
    <row r="214" spans="1:59" s="86" customFormat="1" ht="22.5" customHeight="1" x14ac:dyDescent="0.2">
      <c r="A214" s="52"/>
      <c r="B214" s="1"/>
      <c r="C214" s="2"/>
      <c r="D214" s="1"/>
      <c r="E214" s="1"/>
      <c r="F214" s="1"/>
      <c r="G214" s="1"/>
      <c r="H214" s="1"/>
      <c r="I214" s="4"/>
      <c r="J214" s="79"/>
      <c r="K214" s="1"/>
      <c r="L214" s="79"/>
      <c r="M214" s="1"/>
      <c r="N214" s="3"/>
      <c r="O214" s="1"/>
      <c r="P214" s="3"/>
      <c r="Q214" s="41"/>
      <c r="R214" s="45"/>
      <c r="S214" s="41"/>
      <c r="T214" s="41"/>
      <c r="U214" s="1"/>
      <c r="V214" s="4"/>
      <c r="W214" s="1"/>
    </row>
    <row r="216" spans="1:59" ht="31.5" customHeight="1" x14ac:dyDescent="0.2"/>
    <row r="218" spans="1:59" ht="18.399999999999999" customHeight="1" x14ac:dyDescent="0.2"/>
    <row r="219" spans="1:59" ht="24" customHeight="1" x14ac:dyDescent="0.2"/>
    <row r="220" spans="1:59" s="88" customFormat="1" ht="16.149999999999999" customHeight="1" x14ac:dyDescent="0.2">
      <c r="A220" s="52"/>
      <c r="B220" s="1"/>
      <c r="C220" s="2"/>
      <c r="D220" s="1"/>
      <c r="E220" s="1"/>
      <c r="F220" s="1"/>
      <c r="G220" s="1"/>
      <c r="H220" s="1"/>
      <c r="I220" s="4"/>
      <c r="J220" s="79"/>
      <c r="K220" s="1"/>
      <c r="L220" s="79"/>
      <c r="M220" s="1"/>
      <c r="N220" s="3"/>
      <c r="O220" s="1"/>
      <c r="P220" s="3"/>
      <c r="Q220" s="41"/>
      <c r="R220" s="45"/>
      <c r="S220" s="41"/>
      <c r="T220" s="41"/>
      <c r="U220" s="1"/>
      <c r="V220" s="4"/>
      <c r="W220" s="1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</row>
    <row r="223" spans="1:59" s="87" customFormat="1" ht="24.6" customHeight="1" x14ac:dyDescent="0.2">
      <c r="A223" s="52"/>
      <c r="B223" s="1"/>
      <c r="C223" s="2"/>
      <c r="D223" s="1"/>
      <c r="E223" s="1"/>
      <c r="F223" s="1"/>
      <c r="G223" s="1"/>
      <c r="H223" s="1"/>
      <c r="I223" s="4"/>
      <c r="J223" s="79"/>
      <c r="K223" s="1"/>
      <c r="L223" s="79"/>
      <c r="M223" s="1"/>
      <c r="N223" s="3"/>
      <c r="O223" s="1"/>
      <c r="P223" s="3"/>
      <c r="Q223" s="41"/>
      <c r="R223" s="45"/>
      <c r="S223" s="41"/>
      <c r="T223" s="41"/>
      <c r="U223" s="1"/>
      <c r="V223" s="4"/>
      <c r="W223" s="1"/>
    </row>
    <row r="226" spans="1:23" ht="22.5" customHeight="1" x14ac:dyDescent="0.2"/>
    <row r="229" spans="1:23" s="70" customFormat="1" ht="27" customHeight="1" x14ac:dyDescent="0.2">
      <c r="A229" s="52"/>
      <c r="B229" s="1"/>
      <c r="C229" s="2"/>
      <c r="D229" s="1"/>
      <c r="E229" s="1"/>
      <c r="F229" s="1"/>
      <c r="G229" s="1"/>
      <c r="H229" s="1"/>
      <c r="I229" s="4"/>
      <c r="J229" s="79"/>
      <c r="K229" s="1"/>
      <c r="L229" s="79"/>
      <c r="M229" s="1"/>
      <c r="N229" s="3"/>
      <c r="O229" s="1"/>
      <c r="P229" s="3"/>
      <c r="Q229" s="41"/>
      <c r="R229" s="45"/>
      <c r="S229" s="41"/>
      <c r="T229" s="41"/>
      <c r="U229" s="1"/>
      <c r="V229" s="4"/>
      <c r="W229" s="1"/>
    </row>
    <row r="231" spans="1:23" s="70" customFormat="1" ht="27.75" customHeight="1" x14ac:dyDescent="0.2">
      <c r="A231" s="52"/>
      <c r="B231" s="1"/>
      <c r="C231" s="2"/>
      <c r="D231" s="1"/>
      <c r="E231" s="1"/>
      <c r="F231" s="1"/>
      <c r="G231" s="1"/>
      <c r="H231" s="1"/>
      <c r="I231" s="4"/>
      <c r="J231" s="79"/>
      <c r="K231" s="1"/>
      <c r="L231" s="79"/>
      <c r="M231" s="1"/>
      <c r="N231" s="3"/>
      <c r="O231" s="1"/>
      <c r="P231" s="3"/>
      <c r="Q231" s="41"/>
      <c r="R231" s="45"/>
      <c r="S231" s="41"/>
      <c r="T231" s="41"/>
      <c r="U231" s="1"/>
      <c r="V231" s="4"/>
      <c r="W231" s="1"/>
    </row>
  </sheetData>
  <mergeCells count="165">
    <mergeCell ref="A125:A126"/>
    <mergeCell ref="A137:A138"/>
    <mergeCell ref="A150:A151"/>
    <mergeCell ref="B188:V188"/>
    <mergeCell ref="W161:W163"/>
    <mergeCell ref="U161:U163"/>
    <mergeCell ref="D183:E183"/>
    <mergeCell ref="F183:G183"/>
    <mergeCell ref="A161:A163"/>
    <mergeCell ref="A93:A94"/>
    <mergeCell ref="A88:A89"/>
    <mergeCell ref="C88:C89"/>
    <mergeCell ref="D88:D89"/>
    <mergeCell ref="E88:E89"/>
    <mergeCell ref="G178:H178"/>
    <mergeCell ref="A95:A96"/>
    <mergeCell ref="B95:B96"/>
    <mergeCell ref="U95:U96"/>
    <mergeCell ref="B101:B102"/>
    <mergeCell ref="A101:A102"/>
    <mergeCell ref="A129:A130"/>
    <mergeCell ref="B129:B130"/>
    <mergeCell ref="A154:A155"/>
    <mergeCell ref="B154:B155"/>
    <mergeCell ref="A113:A114"/>
    <mergeCell ref="U113:U114"/>
    <mergeCell ref="V113:V114"/>
    <mergeCell ref="A120:A121"/>
    <mergeCell ref="A76:A77"/>
    <mergeCell ref="W113:W114"/>
    <mergeCell ref="Q88:Q89"/>
    <mergeCell ref="R88:R89"/>
    <mergeCell ref="T88:T89"/>
    <mergeCell ref="U88:U89"/>
    <mergeCell ref="V95:V96"/>
    <mergeCell ref="W95:W96"/>
    <mergeCell ref="A110:A111"/>
    <mergeCell ref="H88:H89"/>
    <mergeCell ref="K88:K89"/>
    <mergeCell ref="D185:E185"/>
    <mergeCell ref="F185:G185"/>
    <mergeCell ref="J175:L175"/>
    <mergeCell ref="L88:L89"/>
    <mergeCell ref="D179:E179"/>
    <mergeCell ref="D180:E180"/>
    <mergeCell ref="G180:H180"/>
    <mergeCell ref="T161:T163"/>
    <mergeCell ref="V154:V155"/>
    <mergeCell ref="T154:T155"/>
    <mergeCell ref="G175:I175"/>
    <mergeCell ref="D176:E176"/>
    <mergeCell ref="D181:E181"/>
    <mergeCell ref="D175:E175"/>
    <mergeCell ref="G177:H177"/>
    <mergeCell ref="D178:E178"/>
    <mergeCell ref="D184:E184"/>
    <mergeCell ref="F184:G184"/>
    <mergeCell ref="U120:U121"/>
    <mergeCell ref="V120:V121"/>
    <mergeCell ref="V161:V163"/>
    <mergeCell ref="T125:T126"/>
    <mergeCell ref="T150:T151"/>
    <mergeCell ref="W40:W41"/>
    <mergeCell ref="U64:U65"/>
    <mergeCell ref="V64:V65"/>
    <mergeCell ref="W73:W74"/>
    <mergeCell ref="U40:U41"/>
    <mergeCell ref="V40:V41"/>
    <mergeCell ref="U35:U36"/>
    <mergeCell ref="V35:V36"/>
    <mergeCell ref="W35:W36"/>
    <mergeCell ref="T35:T36"/>
    <mergeCell ref="W88:W89"/>
    <mergeCell ref="V88:V89"/>
    <mergeCell ref="U93:U94"/>
    <mergeCell ref="V93:V94"/>
    <mergeCell ref="T40:T41"/>
    <mergeCell ref="I88:I89"/>
    <mergeCell ref="J88:J89"/>
    <mergeCell ref="M88:M89"/>
    <mergeCell ref="U125:U126"/>
    <mergeCell ref="V125:V126"/>
    <mergeCell ref="W125:W126"/>
    <mergeCell ref="U150:U151"/>
    <mergeCell ref="V150:V151"/>
    <mergeCell ref="D182:E182"/>
    <mergeCell ref="G88:G89"/>
    <mergeCell ref="N88:N89"/>
    <mergeCell ref="O88:O89"/>
    <mergeCell ref="G176:I176"/>
    <mergeCell ref="J176:L176"/>
    <mergeCell ref="P88:P89"/>
    <mergeCell ref="D174:E174"/>
    <mergeCell ref="G174:I174"/>
    <mergeCell ref="J174:L174"/>
    <mergeCell ref="F88:F89"/>
    <mergeCell ref="W120:W121"/>
    <mergeCell ref="T113:T114"/>
    <mergeCell ref="T120:T121"/>
    <mergeCell ref="T95:T96"/>
    <mergeCell ref="W150:W151"/>
    <mergeCell ref="A2:S2"/>
    <mergeCell ref="U1:W2"/>
    <mergeCell ref="A4:A5"/>
    <mergeCell ref="B4:B5"/>
    <mergeCell ref="D4:D5"/>
    <mergeCell ref="E4:E5"/>
    <mergeCell ref="F4:F5"/>
    <mergeCell ref="G4:G5"/>
    <mergeCell ref="H4:H5"/>
    <mergeCell ref="O4:O5"/>
    <mergeCell ref="P4:P5"/>
    <mergeCell ref="U4:U5"/>
    <mergeCell ref="V4:V5"/>
    <mergeCell ref="W4:W5"/>
    <mergeCell ref="R4:R5"/>
    <mergeCell ref="L4:L5"/>
    <mergeCell ref="J4:J5"/>
    <mergeCell ref="W9:W10"/>
    <mergeCell ref="W16:W17"/>
    <mergeCell ref="U9:U10"/>
    <mergeCell ref="A35:A36"/>
    <mergeCell ref="W64:W65"/>
    <mergeCell ref="A46:A48"/>
    <mergeCell ref="B46:B48"/>
    <mergeCell ref="V46:V48"/>
    <mergeCell ref="F182:G182"/>
    <mergeCell ref="D46:D48"/>
    <mergeCell ref="A9:A10"/>
    <mergeCell ref="R73:R74"/>
    <mergeCell ref="T73:T74"/>
    <mergeCell ref="U46:U48"/>
    <mergeCell ref="W46:W48"/>
    <mergeCell ref="F181:G181"/>
    <mergeCell ref="D177:E177"/>
    <mergeCell ref="B76:B77"/>
    <mergeCell ref="U76:U77"/>
    <mergeCell ref="V76:V77"/>
    <mergeCell ref="W76:W77"/>
    <mergeCell ref="W93:W94"/>
    <mergeCell ref="T76:T77"/>
    <mergeCell ref="T93:T94"/>
    <mergeCell ref="M4:M5"/>
    <mergeCell ref="N4:N5"/>
    <mergeCell ref="A73:A74"/>
    <mergeCell ref="U73:U74"/>
    <mergeCell ref="V73:V74"/>
    <mergeCell ref="T9:T10"/>
    <mergeCell ref="T16:T17"/>
    <mergeCell ref="K4:K5"/>
    <mergeCell ref="A40:A41"/>
    <mergeCell ref="A64:A65"/>
    <mergeCell ref="A16:A17"/>
    <mergeCell ref="U16:U17"/>
    <mergeCell ref="V16:V17"/>
    <mergeCell ref="V9:V10"/>
    <mergeCell ref="R9:R10"/>
    <mergeCell ref="S9:S10"/>
    <mergeCell ref="C4:C5"/>
    <mergeCell ref="S4:S5"/>
    <mergeCell ref="Q4:Q5"/>
    <mergeCell ref="T4:T5"/>
    <mergeCell ref="I4:I5"/>
    <mergeCell ref="T46:T48"/>
    <mergeCell ref="T64:T65"/>
  </mergeCells>
  <pageMargins left="0.23622047244094491" right="0" top="0.39370078740157483" bottom="0.31496062992125984" header="0" footer="0"/>
  <pageSetup paperSize="9" scale="92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listopad 2022 Miasto</vt:lpstr>
      <vt:lpstr>'listopad 2022 Miasto'!Obszar_wydruku</vt:lpstr>
      <vt:lpstr>'listopad 2022 Miasto'!Tytuły_wydruku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Strąkowska Elżbieta</dc:creator>
  <cp:lastModifiedBy>Tymińska Ewa</cp:lastModifiedBy>
  <cp:lastPrinted>2022-08-09T09:18:47Z</cp:lastPrinted>
  <dcterms:created xsi:type="dcterms:W3CDTF">2015-03-02T09:20:06Z</dcterms:created>
  <dcterms:modified xsi:type="dcterms:W3CDTF">2022-12-29T14:33:50Z</dcterms:modified>
</cp:coreProperties>
</file>