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00" windowHeight="5205"/>
  </bookViews>
  <sheets>
    <sheet name="Formularz cenowy" sheetId="2" r:id="rId1"/>
    <sheet name="Taryfa PSG" sheetId="3" r:id="rId2"/>
  </sheets>
  <definedNames>
    <definedName name="_xlnm._FilterDatabase" localSheetId="0" hidden="1">'Formularz cenowy'!$B$45:$AD$84</definedName>
  </definedNames>
  <calcPr calcId="145621"/>
</workbook>
</file>

<file path=xl/calcChain.xml><?xml version="1.0" encoding="utf-8"?>
<calcChain xmlns="http://schemas.openxmlformats.org/spreadsheetml/2006/main">
  <c r="X72" i="2" l="1"/>
  <c r="Y72" i="2" s="1"/>
  <c r="V72" i="2"/>
  <c r="U72" i="2"/>
  <c r="N72" i="2"/>
  <c r="F72" i="2"/>
  <c r="X71" i="2"/>
  <c r="Y71" i="2" s="1"/>
  <c r="V71" i="2"/>
  <c r="W71" i="2" s="1"/>
  <c r="Z71" i="2" s="1"/>
  <c r="U71" i="2"/>
  <c r="N71" i="2"/>
  <c r="F71" i="2"/>
  <c r="X70" i="2"/>
  <c r="Y70" i="2" s="1"/>
  <c r="V70" i="2"/>
  <c r="U70" i="2"/>
  <c r="N70" i="2"/>
  <c r="F70" i="2"/>
  <c r="X69" i="2"/>
  <c r="Y69" i="2" s="1"/>
  <c r="V69" i="2"/>
  <c r="U69" i="2"/>
  <c r="N69" i="2"/>
  <c r="F69" i="2"/>
  <c r="X68" i="2"/>
  <c r="Y68" i="2" s="1"/>
  <c r="V68" i="2"/>
  <c r="U68" i="2"/>
  <c r="N68" i="2"/>
  <c r="W68" i="2" s="1"/>
  <c r="F68" i="2"/>
  <c r="X67" i="2"/>
  <c r="Y67" i="2" s="1"/>
  <c r="V67" i="2"/>
  <c r="U67" i="2"/>
  <c r="N67" i="2"/>
  <c r="F67" i="2"/>
  <c r="X66" i="2"/>
  <c r="Y66" i="2" s="1"/>
  <c r="V66" i="2"/>
  <c r="W66" i="2" s="1"/>
  <c r="U66" i="2"/>
  <c r="N66" i="2"/>
  <c r="F66" i="2"/>
  <c r="X65" i="2"/>
  <c r="Y65" i="2" s="1"/>
  <c r="V65" i="2"/>
  <c r="U65" i="2"/>
  <c r="N65" i="2"/>
  <c r="W65" i="2" s="1"/>
  <c r="Z65" i="2" s="1"/>
  <c r="F65" i="2"/>
  <c r="X64" i="2"/>
  <c r="Y64" i="2" s="1"/>
  <c r="V64" i="2"/>
  <c r="U64" i="2"/>
  <c r="N64" i="2"/>
  <c r="F64" i="2"/>
  <c r="X63" i="2"/>
  <c r="Y63" i="2" s="1"/>
  <c r="V63" i="2"/>
  <c r="W63" i="2" s="1"/>
  <c r="U63" i="2"/>
  <c r="N63" i="2"/>
  <c r="F63" i="2"/>
  <c r="Y62" i="2"/>
  <c r="X62" i="2"/>
  <c r="V62" i="2"/>
  <c r="U62" i="2"/>
  <c r="N62" i="2"/>
  <c r="F62" i="2"/>
  <c r="X61" i="2"/>
  <c r="Y61" i="2" s="1"/>
  <c r="V61" i="2"/>
  <c r="U61" i="2"/>
  <c r="N61" i="2"/>
  <c r="F61" i="2"/>
  <c r="X60" i="2"/>
  <c r="Y60" i="2" s="1"/>
  <c r="V60" i="2"/>
  <c r="U60" i="2"/>
  <c r="N60" i="2"/>
  <c r="F60" i="2"/>
  <c r="X59" i="2"/>
  <c r="Y59" i="2" s="1"/>
  <c r="V59" i="2"/>
  <c r="U59" i="2"/>
  <c r="N59" i="2"/>
  <c r="F59" i="2"/>
  <c r="X58" i="2"/>
  <c r="Y58" i="2" s="1"/>
  <c r="V58" i="2"/>
  <c r="U58" i="2"/>
  <c r="N58" i="2"/>
  <c r="F58" i="2"/>
  <c r="X57" i="2"/>
  <c r="Y57" i="2" s="1"/>
  <c r="V57" i="2"/>
  <c r="U57" i="2"/>
  <c r="N57" i="2"/>
  <c r="F57" i="2"/>
  <c r="X56" i="2"/>
  <c r="Y56" i="2" s="1"/>
  <c r="V56" i="2"/>
  <c r="U56" i="2"/>
  <c r="N56" i="2"/>
  <c r="W56" i="2" s="1"/>
  <c r="F56" i="2"/>
  <c r="X55" i="2"/>
  <c r="Y55" i="2" s="1"/>
  <c r="V55" i="2"/>
  <c r="W55" i="2" s="1"/>
  <c r="Z55" i="2" s="1"/>
  <c r="U55" i="2"/>
  <c r="N55" i="2"/>
  <c r="F55" i="2"/>
  <c r="X54" i="2"/>
  <c r="Y54" i="2" s="1"/>
  <c r="V54" i="2"/>
  <c r="U54" i="2"/>
  <c r="N54" i="2"/>
  <c r="F54" i="2"/>
  <c r="X53" i="2"/>
  <c r="Y53" i="2" s="1"/>
  <c r="V53" i="2"/>
  <c r="U53" i="2"/>
  <c r="N53" i="2"/>
  <c r="W53" i="2" s="1"/>
  <c r="F53" i="2"/>
  <c r="X52" i="2"/>
  <c r="Y52" i="2" s="1"/>
  <c r="W52" i="2"/>
  <c r="V52" i="2"/>
  <c r="U52" i="2"/>
  <c r="N52" i="2"/>
  <c r="F52" i="2"/>
  <c r="X51" i="2"/>
  <c r="Y51" i="2" s="1"/>
  <c r="V51" i="2"/>
  <c r="U51" i="2"/>
  <c r="N51" i="2"/>
  <c r="F51" i="2"/>
  <c r="X50" i="2"/>
  <c r="Y50" i="2" s="1"/>
  <c r="V50" i="2"/>
  <c r="U50" i="2"/>
  <c r="N50" i="2"/>
  <c r="F50" i="2"/>
  <c r="X49" i="2"/>
  <c r="Y49" i="2" s="1"/>
  <c r="V49" i="2"/>
  <c r="U49" i="2"/>
  <c r="N49" i="2"/>
  <c r="W49" i="2" s="1"/>
  <c r="F49" i="2"/>
  <c r="X48" i="2"/>
  <c r="Y48" i="2" s="1"/>
  <c r="V48" i="2"/>
  <c r="W48" i="2" s="1"/>
  <c r="U48" i="2"/>
  <c r="N48" i="2"/>
  <c r="F48" i="2"/>
  <c r="X47" i="2"/>
  <c r="Y47" i="2" s="1"/>
  <c r="V47" i="2"/>
  <c r="U47" i="2"/>
  <c r="N47" i="2"/>
  <c r="F47" i="2"/>
  <c r="Y46" i="2"/>
  <c r="X46" i="2"/>
  <c r="V46" i="2"/>
  <c r="U46" i="2"/>
  <c r="N46" i="2"/>
  <c r="F46" i="2"/>
  <c r="X34" i="2"/>
  <c r="Y34" i="2" s="1"/>
  <c r="V34" i="2"/>
  <c r="U34" i="2"/>
  <c r="N34" i="2"/>
  <c r="F34" i="2"/>
  <c r="X27" i="2"/>
  <c r="Y27" i="2" s="1"/>
  <c r="V27" i="2"/>
  <c r="U27" i="2"/>
  <c r="N27" i="2"/>
  <c r="F27" i="2"/>
  <c r="X26" i="2"/>
  <c r="Y26" i="2" s="1"/>
  <c r="V26" i="2"/>
  <c r="U26" i="2"/>
  <c r="N26" i="2"/>
  <c r="F26" i="2"/>
  <c r="X25" i="2"/>
  <c r="Y25" i="2" s="1"/>
  <c r="V25" i="2"/>
  <c r="U25" i="2"/>
  <c r="N25" i="2"/>
  <c r="W25" i="2" s="1"/>
  <c r="F25" i="2"/>
  <c r="X24" i="2"/>
  <c r="Y24" i="2" s="1"/>
  <c r="V24" i="2"/>
  <c r="U24" i="2"/>
  <c r="N24" i="2"/>
  <c r="F24" i="2"/>
  <c r="AA55" i="2" l="1"/>
  <c r="AC55" i="2" s="1"/>
  <c r="AD55" i="2" s="1"/>
  <c r="Z52" i="2"/>
  <c r="AA52" i="2" s="1"/>
  <c r="AC52" i="2" s="1"/>
  <c r="AD52" i="2" s="1"/>
  <c r="Z63" i="2"/>
  <c r="AA63" i="2" s="1"/>
  <c r="AC63" i="2" s="1"/>
  <c r="AD63" i="2" s="1"/>
  <c r="Z56" i="2"/>
  <c r="AA56" i="2" s="1"/>
  <c r="AC56" i="2" s="1"/>
  <c r="AD56" i="2" s="1"/>
  <c r="Z48" i="2"/>
  <c r="AA48" i="2" s="1"/>
  <c r="AC48" i="2" s="1"/>
  <c r="AD48" i="2" s="1"/>
  <c r="W67" i="2"/>
  <c r="Z67" i="2" s="1"/>
  <c r="AA67" i="2" s="1"/>
  <c r="AC67" i="2" s="1"/>
  <c r="AD67" i="2" s="1"/>
  <c r="W60" i="2"/>
  <c r="Z60" i="2" s="1"/>
  <c r="AA60" i="2" s="1"/>
  <c r="AC60" i="2" s="1"/>
  <c r="AD60" i="2" s="1"/>
  <c r="W58" i="2"/>
  <c r="Z58" i="2" s="1"/>
  <c r="AA58" i="2" s="1"/>
  <c r="AC58" i="2" s="1"/>
  <c r="AD58" i="2" s="1"/>
  <c r="W50" i="2"/>
  <c r="Z50" i="2" s="1"/>
  <c r="AA50" i="2" s="1"/>
  <c r="AC50" i="2" s="1"/>
  <c r="AD50" i="2" s="1"/>
  <c r="W47" i="2"/>
  <c r="Z47" i="2" s="1"/>
  <c r="AA47" i="2" s="1"/>
  <c r="AC47" i="2" s="1"/>
  <c r="AD47" i="2" s="1"/>
  <c r="AA71" i="2"/>
  <c r="AC71" i="2" s="1"/>
  <c r="AD71" i="2" s="1"/>
  <c r="W62" i="2"/>
  <c r="Z62" i="2" s="1"/>
  <c r="AA62" i="2" s="1"/>
  <c r="AC62" i="2" s="1"/>
  <c r="AD62" i="2" s="1"/>
  <c r="W34" i="2"/>
  <c r="Z34" i="2" s="1"/>
  <c r="AA34" i="2" s="1"/>
  <c r="AC34" i="2" s="1"/>
  <c r="AD34" i="2" s="1"/>
  <c r="W61" i="2"/>
  <c r="Z61" i="2" s="1"/>
  <c r="AA61" i="2" s="1"/>
  <c r="AC61" i="2" s="1"/>
  <c r="AD61" i="2" s="1"/>
  <c r="W64" i="2"/>
  <c r="Z64" i="2" s="1"/>
  <c r="AA64" i="2" s="1"/>
  <c r="AC64" i="2" s="1"/>
  <c r="AD64" i="2" s="1"/>
  <c r="AA70" i="2"/>
  <c r="AC70" i="2" s="1"/>
  <c r="AD70" i="2" s="1"/>
  <c r="W57" i="2"/>
  <c r="Z57" i="2" s="1"/>
  <c r="AA57" i="2" s="1"/>
  <c r="AC57" i="2" s="1"/>
  <c r="AD57" i="2" s="1"/>
  <c r="W51" i="2"/>
  <c r="Z51" i="2" s="1"/>
  <c r="AA51" i="2" s="1"/>
  <c r="AC51" i="2" s="1"/>
  <c r="AD51" i="2" s="1"/>
  <c r="W54" i="2"/>
  <c r="Z54" i="2" s="1"/>
  <c r="AA54" i="2" s="1"/>
  <c r="AC54" i="2" s="1"/>
  <c r="AD54" i="2" s="1"/>
  <c r="W69" i="2"/>
  <c r="Z69" i="2" s="1"/>
  <c r="AA69" i="2" s="1"/>
  <c r="AC69" i="2" s="1"/>
  <c r="AD69" i="2" s="1"/>
  <c r="W70" i="2"/>
  <c r="Z70" i="2" s="1"/>
  <c r="Z66" i="2"/>
  <c r="AA66" i="2" s="1"/>
  <c r="AC66" i="2" s="1"/>
  <c r="AD66" i="2" s="1"/>
  <c r="W72" i="2"/>
  <c r="Z72" i="2" s="1"/>
  <c r="AA72" i="2" s="1"/>
  <c r="AC72" i="2" s="1"/>
  <c r="AD72" i="2" s="1"/>
  <c r="W46" i="2"/>
  <c r="Z46" i="2" s="1"/>
  <c r="AA46" i="2" s="1"/>
  <c r="W59" i="2"/>
  <c r="Z59" i="2" s="1"/>
  <c r="AA59" i="2" s="1"/>
  <c r="AC59" i="2" s="1"/>
  <c r="AD59" i="2" s="1"/>
  <c r="Z49" i="2"/>
  <c r="AA49" i="2" s="1"/>
  <c r="AC49" i="2" s="1"/>
  <c r="AD49" i="2" s="1"/>
  <c r="AA65" i="2"/>
  <c r="AC65" i="2" s="1"/>
  <c r="AD65" i="2" s="1"/>
  <c r="Z68" i="2"/>
  <c r="AA68" i="2" s="1"/>
  <c r="AC68" i="2" s="1"/>
  <c r="AD68" i="2" s="1"/>
  <c r="Z53" i="2"/>
  <c r="AA53" i="2" s="1"/>
  <c r="AC53" i="2" s="1"/>
  <c r="AD53" i="2" s="1"/>
  <c r="W24" i="2"/>
  <c r="Z24" i="2" s="1"/>
  <c r="AA24" i="2" s="1"/>
  <c r="AC24" i="2" s="1"/>
  <c r="AD24" i="2" s="1"/>
  <c r="W26" i="2"/>
  <c r="Z26" i="2" s="1"/>
  <c r="AA26" i="2" s="1"/>
  <c r="AC26" i="2" s="1"/>
  <c r="AD26" i="2" s="1"/>
  <c r="W27" i="2"/>
  <c r="Z27" i="2" s="1"/>
  <c r="AA27" i="2" s="1"/>
  <c r="AC27" i="2" s="1"/>
  <c r="AD27" i="2" s="1"/>
  <c r="Z25" i="2"/>
  <c r="AA25" i="2" s="1"/>
  <c r="AC25" i="2" s="1"/>
  <c r="AD25" i="2" s="1"/>
  <c r="AC46" i="2" l="1"/>
  <c r="AD46" i="2" s="1"/>
  <c r="AA73" i="2"/>
  <c r="X33" i="2"/>
  <c r="Y33" i="2" s="1"/>
  <c r="V33" i="2"/>
  <c r="U33" i="2"/>
  <c r="N33" i="2"/>
  <c r="F33" i="2"/>
  <c r="X32" i="2"/>
  <c r="Y32" i="2" s="1"/>
  <c r="V32" i="2"/>
  <c r="U32" i="2"/>
  <c r="N32" i="2"/>
  <c r="F32" i="2"/>
  <c r="X31" i="2"/>
  <c r="Y31" i="2" s="1"/>
  <c r="V31" i="2"/>
  <c r="U31" i="2"/>
  <c r="N31" i="2"/>
  <c r="F31" i="2"/>
  <c r="X30" i="2"/>
  <c r="Y30" i="2" s="1"/>
  <c r="V30" i="2"/>
  <c r="U30" i="2"/>
  <c r="N30" i="2"/>
  <c r="F30" i="2"/>
  <c r="X29" i="2"/>
  <c r="Y29" i="2" s="1"/>
  <c r="V29" i="2"/>
  <c r="U29" i="2"/>
  <c r="N29" i="2"/>
  <c r="F29" i="2"/>
  <c r="X22" i="2"/>
  <c r="Y22" i="2" s="1"/>
  <c r="V22" i="2"/>
  <c r="U22" i="2"/>
  <c r="N22" i="2"/>
  <c r="F22" i="2"/>
  <c r="X21" i="2"/>
  <c r="Y21" i="2" s="1"/>
  <c r="V21" i="2"/>
  <c r="U21" i="2"/>
  <c r="N21" i="2"/>
  <c r="F21" i="2"/>
  <c r="X20" i="2"/>
  <c r="Y20" i="2" s="1"/>
  <c r="V20" i="2"/>
  <c r="U20" i="2"/>
  <c r="N20" i="2"/>
  <c r="F20" i="2"/>
  <c r="X13" i="2"/>
  <c r="Y13" i="2" s="1"/>
  <c r="V13" i="2"/>
  <c r="U13" i="2"/>
  <c r="N13" i="2"/>
  <c r="F13" i="2"/>
  <c r="X14" i="2"/>
  <c r="Y14" i="2" s="1"/>
  <c r="V14" i="2"/>
  <c r="U14" i="2"/>
  <c r="N14" i="2"/>
  <c r="F14" i="2"/>
  <c r="U9" i="2"/>
  <c r="X11" i="2"/>
  <c r="Y11" i="2" s="1"/>
  <c r="V11" i="2"/>
  <c r="U11" i="2"/>
  <c r="N11" i="2"/>
  <c r="F11" i="2"/>
  <c r="X10" i="2"/>
  <c r="Y10" i="2" s="1"/>
  <c r="V10" i="2"/>
  <c r="U10" i="2"/>
  <c r="N10" i="2"/>
  <c r="F10" i="2"/>
  <c r="W14" i="2" l="1"/>
  <c r="Z14" i="2" s="1"/>
  <c r="AA14" i="2" s="1"/>
  <c r="AC14" i="2" s="1"/>
  <c r="AD14" i="2" s="1"/>
  <c r="W30" i="2"/>
  <c r="Z30" i="2" s="1"/>
  <c r="AA30" i="2" s="1"/>
  <c r="AC30" i="2" s="1"/>
  <c r="AD30" i="2" s="1"/>
  <c r="W33" i="2"/>
  <c r="Z33" i="2" s="1"/>
  <c r="AA33" i="2" s="1"/>
  <c r="AC33" i="2" s="1"/>
  <c r="AD33" i="2" s="1"/>
  <c r="W20" i="2"/>
  <c r="Z20" i="2" s="1"/>
  <c r="AA20" i="2" s="1"/>
  <c r="AC20" i="2" s="1"/>
  <c r="AD20" i="2" s="1"/>
  <c r="W31" i="2"/>
  <c r="Z31" i="2" s="1"/>
  <c r="AA31" i="2" s="1"/>
  <c r="AC31" i="2" s="1"/>
  <c r="AD31" i="2" s="1"/>
  <c r="W32" i="2"/>
  <c r="Z32" i="2" s="1"/>
  <c r="AA32" i="2" s="1"/>
  <c r="AC32" i="2" s="1"/>
  <c r="AD32" i="2" s="1"/>
  <c r="W29" i="2"/>
  <c r="Z29" i="2" s="1"/>
  <c r="AA29" i="2" s="1"/>
  <c r="AC29" i="2" s="1"/>
  <c r="AD29" i="2" s="1"/>
  <c r="W21" i="2"/>
  <c r="Z21" i="2" s="1"/>
  <c r="AA21" i="2" s="1"/>
  <c r="AC21" i="2" s="1"/>
  <c r="AD21" i="2" s="1"/>
  <c r="W22" i="2"/>
  <c r="Z22" i="2" s="1"/>
  <c r="AA22" i="2" s="1"/>
  <c r="AC22" i="2" s="1"/>
  <c r="AD22" i="2" s="1"/>
  <c r="W13" i="2"/>
  <c r="Z13" i="2" s="1"/>
  <c r="AA13" i="2" s="1"/>
  <c r="AC13" i="2" s="1"/>
  <c r="AD13" i="2" s="1"/>
  <c r="W10" i="2"/>
  <c r="Z10" i="2" s="1"/>
  <c r="AA10" i="2" s="1"/>
  <c r="AC10" i="2" s="1"/>
  <c r="AD10" i="2" s="1"/>
  <c r="W11" i="2"/>
  <c r="Z11" i="2" s="1"/>
  <c r="AA11" i="2" s="1"/>
  <c r="AC11" i="2" s="1"/>
  <c r="AD11" i="2" s="1"/>
  <c r="X19" i="2" l="1"/>
  <c r="Y19" i="2" s="1"/>
  <c r="V19" i="2"/>
  <c r="N19" i="2"/>
  <c r="F19" i="2"/>
  <c r="U19" i="2" l="1"/>
  <c r="W19" i="2"/>
  <c r="Z19" i="2" s="1"/>
  <c r="X18" i="2"/>
  <c r="Y18" i="2" s="1"/>
  <c r="V18" i="2"/>
  <c r="N18" i="2"/>
  <c r="F18" i="2"/>
  <c r="X17" i="2"/>
  <c r="Y17" i="2" s="1"/>
  <c r="V17" i="2"/>
  <c r="N17" i="2"/>
  <c r="F17" i="2"/>
  <c r="F12" i="2"/>
  <c r="F15" i="2"/>
  <c r="F16" i="2"/>
  <c r="F23" i="2"/>
  <c r="F28" i="2"/>
  <c r="F35" i="2"/>
  <c r="F9" i="2"/>
  <c r="AC73" i="2" l="1"/>
  <c r="AD73" i="2"/>
  <c r="AA19" i="2"/>
  <c r="AC19" i="2" s="1"/>
  <c r="AD19" i="2" s="1"/>
  <c r="U18" i="2"/>
  <c r="U17" i="2"/>
  <c r="W17" i="2"/>
  <c r="Z17" i="2" s="1"/>
  <c r="W18" i="2"/>
  <c r="Z18" i="2" s="1"/>
  <c r="AA17" i="2" l="1"/>
  <c r="AC17" i="2" s="1"/>
  <c r="AD17" i="2" s="1"/>
  <c r="AA18" i="2"/>
  <c r="AC18" i="2" s="1"/>
  <c r="AD18" i="2" s="1"/>
  <c r="X12" i="2" l="1"/>
  <c r="Y12" i="2" s="1"/>
  <c r="X15" i="2"/>
  <c r="Y15" i="2" s="1"/>
  <c r="X16" i="2"/>
  <c r="Y16" i="2" s="1"/>
  <c r="X23" i="2"/>
  <c r="Y23" i="2" s="1"/>
  <c r="X28" i="2"/>
  <c r="Y28" i="2" s="1"/>
  <c r="X35" i="2"/>
  <c r="Y35" i="2" s="1"/>
  <c r="V12" i="2"/>
  <c r="V15" i="2"/>
  <c r="V16" i="2"/>
  <c r="V23" i="2"/>
  <c r="V28" i="2"/>
  <c r="V35" i="2"/>
  <c r="X9" i="2"/>
  <c r="Y9" i="2" s="1"/>
  <c r="V9" i="2"/>
  <c r="U35" i="2" l="1"/>
  <c r="N35" i="2"/>
  <c r="W35" i="2" s="1"/>
  <c r="Z35" i="2" l="1"/>
  <c r="AA35" i="2" s="1"/>
  <c r="AC35" i="2" l="1"/>
  <c r="AD35" i="2" s="1"/>
  <c r="U16" i="2" l="1"/>
  <c r="N16" i="2"/>
  <c r="W16" i="2" s="1"/>
  <c r="U15" i="2"/>
  <c r="N15" i="2"/>
  <c r="W15" i="2" s="1"/>
  <c r="U12" i="2"/>
  <c r="N12" i="2"/>
  <c r="W12" i="2" l="1"/>
  <c r="Z12" i="2" s="1"/>
  <c r="AA12" i="2" s="1"/>
  <c r="Z16" i="2"/>
  <c r="AA16" i="2" s="1"/>
  <c r="Z15" i="2"/>
  <c r="AA15" i="2" s="1"/>
  <c r="AC12" i="2" l="1"/>
  <c r="AD12" i="2" s="1"/>
  <c r="AC15" i="2"/>
  <c r="AD15" i="2" s="1"/>
  <c r="AC16" i="2"/>
  <c r="AD16" i="2" s="1"/>
  <c r="U23" i="2" l="1"/>
  <c r="U28" i="2"/>
  <c r="N23" i="2"/>
  <c r="W23" i="2" s="1"/>
  <c r="N28" i="2"/>
  <c r="W28" i="2" s="1"/>
  <c r="N9" i="2"/>
  <c r="W9" i="2" l="1"/>
  <c r="Z9" i="2" s="1"/>
  <c r="AA9" i="2" s="1"/>
  <c r="Z23" i="2"/>
  <c r="AC9" i="2" l="1"/>
  <c r="Z28" i="2"/>
  <c r="AD9" i="2" l="1"/>
  <c r="AA23" i="2"/>
  <c r="AA28" i="2"/>
  <c r="AC28" i="2" l="1"/>
  <c r="AD28" i="2" s="1"/>
  <c r="AA36" i="2"/>
  <c r="AC75" i="2" s="1"/>
  <c r="AC23" i="2"/>
  <c r="AC36" i="2" l="1"/>
  <c r="AC76" i="2" s="1"/>
  <c r="AD23" i="2"/>
  <c r="AD36" i="2" l="1"/>
  <c r="AC77" i="2" s="1"/>
</calcChain>
</file>

<file path=xl/sharedStrings.xml><?xml version="1.0" encoding="utf-8"?>
<sst xmlns="http://schemas.openxmlformats.org/spreadsheetml/2006/main" count="292" uniqueCount="86">
  <si>
    <t>Liczba miesięcy
[m-c]</t>
  </si>
  <si>
    <t>Liczba punktów poboru
[szt]</t>
  </si>
  <si>
    <t>Stawka opłaty zmiennej netto
[gr/kWh]</t>
  </si>
  <si>
    <t>Moc umowna 
[kWh/h]</t>
  </si>
  <si>
    <t xml:space="preserve"> ≤ 110</t>
  </si>
  <si>
    <t>SPRZEDAŻ PALIWA GAZOWEGO</t>
  </si>
  <si>
    <t>Liczba godzin 
w okresie obowiązywania umowy
[h]</t>
  </si>
  <si>
    <t xml:space="preserve"> -1-</t>
  </si>
  <si>
    <t xml:space="preserve"> -2-</t>
  </si>
  <si>
    <t xml:space="preserve"> -3-</t>
  </si>
  <si>
    <t xml:space="preserve"> -4-</t>
  </si>
  <si>
    <t xml:space="preserve"> -5-</t>
  </si>
  <si>
    <t xml:space="preserve"> -6-</t>
  </si>
  <si>
    <t xml:space="preserve"> -7-</t>
  </si>
  <si>
    <t xml:space="preserve"> -8-</t>
  </si>
  <si>
    <t xml:space="preserve"> -9-</t>
  </si>
  <si>
    <t xml:space="preserve"> -10-</t>
  </si>
  <si>
    <t xml:space="preserve"> -11-</t>
  </si>
  <si>
    <t>W-5.1_TA</t>
  </si>
  <si>
    <t>W-4_TA</t>
  </si>
  <si>
    <t>poza rozliczeniem taryfowym</t>
  </si>
  <si>
    <t>WYSZCZEGÓLNIENIE</t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</si>
  <si>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ZW </t>
    </r>
    <r>
      <rPr>
        <sz val="10"/>
        <color theme="1"/>
        <rFont val="Cambria"/>
        <family val="1"/>
        <charset val="238"/>
        <scheme val="major"/>
      </rPr>
      <t>- bez akcyzy, z zerową stawką akcyzy lub zwolnione od akcyzy
[kWh]</t>
    </r>
  </si>
  <si>
    <r>
      <t xml:space="preserve">Szacunkowe zapotrzebowanie
na paliwo gazowe
</t>
    </r>
    <r>
      <rPr>
        <b/>
        <sz val="10"/>
        <color theme="1"/>
        <rFont val="Cambria"/>
        <family val="1"/>
        <charset val="238"/>
        <scheme val="major"/>
      </rPr>
      <t xml:space="preserve">P </t>
    </r>
    <r>
      <rPr>
        <sz val="10"/>
        <color theme="1"/>
        <rFont val="Cambria"/>
        <family val="1"/>
        <charset val="238"/>
        <scheme val="major"/>
      </rPr>
      <t>- opodatkowane 
akcyzą 1,38 zł/GJ 
[kWh]</t>
    </r>
  </si>
  <si>
    <t xml:space="preserve"> -12-</t>
  </si>
  <si>
    <t xml:space="preserve"> -13-</t>
  </si>
  <si>
    <t xml:space="preserve"> -14-</t>
  </si>
  <si>
    <t xml:space="preserve"> -15-</t>
  </si>
  <si>
    <t xml:space="preserve"> -16-</t>
  </si>
  <si>
    <t>DYSTRYBUCJA PALIWA GAZOWEGO</t>
  </si>
  <si>
    <t xml:space="preserve"> -17-</t>
  </si>
  <si>
    <t xml:space="preserve"> -18-</t>
  </si>
  <si>
    <t xml:space="preserve"> -19-</t>
  </si>
  <si>
    <t xml:space="preserve"> -20-</t>
  </si>
  <si>
    <t>CENA OFERTY</t>
  </si>
  <si>
    <t xml:space="preserve"> -21-</t>
  </si>
  <si>
    <t xml:space="preserve"> -22-</t>
  </si>
  <si>
    <t xml:space="preserve"> -23-</t>
  </si>
  <si>
    <t xml:space="preserve"> -24-</t>
  </si>
  <si>
    <t xml:space="preserve"> -25-</t>
  </si>
  <si>
    <t>n.d</t>
  </si>
  <si>
    <t>Cena jednostkowa sprzedaży paliwa gazowego
bez akcyzy, z zerową stawką akcyzy lub zwolnione od akcyzy
netto
 [gr/kWh]</t>
  </si>
  <si>
    <t>Cena jednostkowa sprzedaży paliwa gazowego
opodatkowanego akcyzą 1,38 zł/GJ
netto
[gr/kWh]</t>
  </si>
  <si>
    <t>Stawka podatku VAT
[%]</t>
  </si>
  <si>
    <r>
      <t xml:space="preserve">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</si>
  <si>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Grupa taryfowa</t>
  </si>
  <si>
    <r>
      <rPr>
        <b/>
        <vertAlign val="superscript"/>
        <sz val="9"/>
        <color theme="1"/>
        <rFont val="Cambria"/>
        <family val="1"/>
        <charset val="238"/>
        <scheme val="major"/>
      </rPr>
      <t xml:space="preserve">1 </t>
    </r>
    <r>
      <rPr>
        <b/>
        <sz val="9"/>
        <color theme="1"/>
        <rFont val="Cambria"/>
        <family val="1"/>
        <charset val="238"/>
        <scheme val="major"/>
      </rPr>
      <t>Dotyczy podmiotów uprawnionych, które nabywają i pobierają paliwo gazowe,  zużywane na potrzeby:</t>
    </r>
  </si>
  <si>
    <t>W-1.1_TA</t>
  </si>
  <si>
    <t>W-2.1_TA</t>
  </si>
  <si>
    <t>W-3.6_TA</t>
  </si>
  <si>
    <t>Stawka opłaty abonamentowej/handlowej
netto
[zł/m-c]</t>
  </si>
  <si>
    <t xml:space="preserve"> -26-</t>
  </si>
  <si>
    <t xml:space="preserve"> -27-</t>
  </si>
  <si>
    <t xml:space="preserve"> -28-</t>
  </si>
  <si>
    <t xml:space="preserve"> -29-</t>
  </si>
  <si>
    <r>
      <t xml:space="preserve">Udział procentowy
podlegające ochronie taryfowej </t>
    </r>
    <r>
      <rPr>
        <vertAlign val="superscript"/>
        <sz val="10"/>
        <color theme="1"/>
        <rFont val="Cambria"/>
        <family val="1"/>
        <charset val="238"/>
        <scheme val="major"/>
      </rPr>
      <t>1</t>
    </r>
  </si>
  <si>
    <t>Udział procentowy
poza rozliczeniem taryfowym</t>
  </si>
  <si>
    <t>RAZEM SPRZEDAŻ
netto
[zł] 
[(kol.9xkol.14)/100 
+ (kol.10xkol.15)/100
+ (kol.11xkol.16)/100
+ (kol.12xkol.17)/100
+ (kol.2xkol.7xkol.18)
+ (kol.3xkol.7xkol.19)]</t>
  </si>
  <si>
    <t>Szacunkowe zapotrzebowanie 
na paliwo gazowe 
RAZEM
[kWh]
(kol.9+kol.10+kol.11+kol.12)</t>
  </si>
  <si>
    <t xml:space="preserve"> </t>
  </si>
  <si>
    <t>FORMULARZ CENOWY NA 2025 ROK</t>
  </si>
  <si>
    <t>Razem opłata zmienna netto
[zł]
[kol.13xkol.21/100]</t>
  </si>
  <si>
    <t>Stawka opłaty stałej netto
a) dla grup taryfowych:
W-1.1, W-2.1, 
W-3.6, W-4
[zł/m-c]
b) dla grup taryfowych:
W-5.1, W-6A.1
[gr/(kWh/h) za h]</t>
  </si>
  <si>
    <t>Stawka opłaty stałej netto
a) dla grup taryfowych:
W-1.1, W-2.1, 
W-3.6, W-4
[zł/m-c]
b) dla grup taryfowych:
W-5.1, W-6A.1
[gr/(kWh/h) za h]</t>
  </si>
  <si>
    <t>Razem opłata stała netto
[zł]
a) dla grup taryfowych:
W-1.1, W-2.1,  
W-3.6, W-4, 
[(kol.2+kol.3)×kol.7×kol.23]
b) dla grup taryfowych:
W-5.1, W-6A.1
[(kol.6×kol.8×kol.23/100)]</t>
  </si>
  <si>
    <t>RAZEM DYSTRYBUCJA
netto
[zł] 
(kol.22 + kol.24)</t>
  </si>
  <si>
    <t>Cena oferty netto
[zł] 
(kol. 20 + kol. 25)</t>
  </si>
  <si>
    <t>Wartość podatku VAT 
[zł] 
(kol.26 x kol.27)</t>
  </si>
  <si>
    <t>Cena oferty brutto [zł] 
(kol. 26 + kol. 28)</t>
  </si>
  <si>
    <t>DYSTRYBUCJA</t>
  </si>
  <si>
    <t>Taryfa</t>
  </si>
  <si>
    <t>W-6A.1_TA</t>
  </si>
  <si>
    <t>Stawka opłaty 
zmiennej
netto
[gr/kWh]</t>
  </si>
  <si>
    <t>FORMULARZ CENOWY NA 2026 ROK</t>
  </si>
  <si>
    <t>Podatek VAT 23%</t>
  </si>
  <si>
    <t>Razem cena oferty netto 
(sprzedaż + dystrybucja)
ROK 2025 + ROK 2026</t>
  </si>
  <si>
    <t>Razem cena oferty brutto
(sprzedaż + dystrybucja)
ROK 2025 + ROK 2026</t>
  </si>
  <si>
    <t xml:space="preserve">Wartość należy przenieść do pkt 1.4 Formularza oferty     </t>
  </si>
  <si>
    <t>W-1.2_TA</t>
  </si>
  <si>
    <t xml:space="preserve">a) odbiorców w gospodarstwach domowych w lokalach mieszkalnych lub na potrzeby wytwarzania ciepła zużywanego przez odbiorców w gospodarstwach domowych w lokalach mieszkalnych oraz na potrzeby części wspólnych budynków wielolokalowych,
b) odbiorców, o których mowa w art. 62b ust. 1 pkt 2 lit. d ustawy, prowadzących działalność w lokalach odbiorcy, o którym mowa w art. 62b ust. 1 pkt 2 lit. b lub c Ustawy z dnia 26 stycznia  2022 r. o szczególnych rozwiązaniach służących ochronie odbiorców paliw gazowych w związku  z sytuacją na rynku gazu (Dz. U. z 2022 r., poz. 202),
c) o których mowa w art. 62b ust. 1 pkt 2 lit. d Ustawy z dnia 26 stycznia  2022 r. o szczególnych rozwiązaniach służących ochronie odbiorców paliw gazowych w związku  z sytuacją na rynku gazu (Dz. U. z 2022 r., poz. 202). </t>
  </si>
  <si>
    <t>UWAGA:</t>
  </si>
  <si>
    <t>W przypadku podania cen i stawek opłat innych niż w Taryfie nr 15 sprzedawcy z urzędu PGNiG Obrót Detaliczny Sp. z o.o. oferta Wykonawcy zostanie odrzucona.</t>
  </si>
  <si>
    <t>Dla uniknięcia wątpliwości o wysokości cen i stawek opłat formularz cenowy został uzupełniony o wskazane ceny i stawki opłat.</t>
  </si>
  <si>
    <r>
      <t xml:space="preserve">W formularzu cenowym dla potrzeb porównania i oceny ofert każdy Wykonawca składający ofertę musi podać ceny jednostkowe sprzedaży paliwa gazowego oraz stawki opłat abonamentowych </t>
    </r>
    <r>
      <rPr>
        <b/>
        <sz val="11"/>
        <color theme="1"/>
        <rFont val="Calibri"/>
        <family val="2"/>
        <charset val="238"/>
      </rPr>
      <t>dla punktów poboru podlegających ochronie taryfowej</t>
    </r>
    <r>
      <rPr>
        <sz val="11"/>
        <color theme="1"/>
        <rFont val="Calibri"/>
        <family val="2"/>
        <charset val="238"/>
      </rPr>
      <t xml:space="preserve"> (dla Odbiorców paliw gazowych, o których mowa w art. 62b ust. 1 pkt 2 lit. a-d ustawy z dnia 10 kwietnia 1997 r. Prawo Energetyczne (tekst jedn. Dz. U. z 2024 r., poz. 266 z późn. zm.) 
</t>
    </r>
    <r>
      <rPr>
        <b/>
        <sz val="11"/>
        <color theme="1"/>
        <rFont val="Calibri"/>
        <family val="2"/>
        <charset val="238"/>
      </rPr>
      <t>zgodne</t>
    </r>
    <r>
      <rPr>
        <sz val="11"/>
        <color theme="1"/>
        <rFont val="Calibri"/>
        <family val="2"/>
        <charset val="238"/>
      </rPr>
      <t xml:space="preserve"> z obowiązującą </t>
    </r>
    <r>
      <rPr>
        <b/>
        <sz val="11"/>
        <color theme="1"/>
        <rFont val="Calibri"/>
        <family val="2"/>
        <charset val="238"/>
      </rPr>
      <t>Taryfą nr 15</t>
    </r>
    <r>
      <rPr>
        <sz val="11"/>
        <color theme="1"/>
        <rFont val="Calibri"/>
        <family val="2"/>
        <charset val="238"/>
      </rPr>
      <t xml:space="preserve"> sprzedawcy z urzędu </t>
    </r>
    <r>
      <rPr>
        <b/>
        <sz val="11"/>
        <color theme="1"/>
        <rFont val="Calibri"/>
        <family val="2"/>
        <charset val="238"/>
      </rPr>
      <t>PGNiG Obrót Detaliczny Sp. z o.o.</t>
    </r>
    <r>
      <rPr>
        <sz val="11"/>
        <color theme="1"/>
        <rFont val="Calibri"/>
        <family val="2"/>
        <charset val="238"/>
      </rPr>
      <t xml:space="preserve"> zatwierdzonej decyzją Prezesa Urzędu Regulacji Energetyki nr DRG.DRG-2.4212.23.2024.AGa z dnia 27 czerwca 2024 r.</t>
    </r>
  </si>
  <si>
    <r>
      <t>W trakcie realizacji zamówienia</t>
    </r>
    <r>
      <rPr>
        <b/>
        <sz val="11"/>
        <color rgb="FFFF0000"/>
        <rFont val="Calibri"/>
        <family val="2"/>
        <charset val="238"/>
      </rPr>
      <t xml:space="preserve"> pomimo podania cen i stawek opłat w formularzu cenowym wynikających z Taryfy nr 15 sprzedawcy z urzędu PGNiG Obrót Detaliczny Sp. z o.o. </t>
    </r>
    <r>
      <rPr>
        <b/>
        <u/>
        <sz val="11"/>
        <color rgb="FFFF0000"/>
        <rFont val="Calibri"/>
        <family val="2"/>
        <charset val="238"/>
      </rPr>
      <t>rozliczenia z Zamawiającym będą prowadzone zgodnie z obowiązującą Taryfą Wykonawcy na dzień dostawy</t>
    </r>
    <r>
      <rPr>
        <b/>
        <sz val="11"/>
        <color rgb="FFFF0000"/>
        <rFont val="Calibri"/>
        <family val="2"/>
        <charset val="238"/>
      </rPr>
      <t xml:space="preserve"> (ceny i stawki opłat mogą być niższe lub wyższe w zależności od Taryfy Wykonawcy zatwierdzonej przez Prezesa URE).
Wartość umowy oraz załącznik nr 5 do umowy dla punktów poboru paliwa gazowego z ochroną taryfową będą uwzględniały ceny sprzedaży paliwa gazowego  i stawki opłaty abonamentowej zgodnie z aktualną Taryfą Wykonawcy.</t>
    </r>
  </si>
  <si>
    <t>Załacznik nr 1a - formularz cenowy - ZMIANA 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</si>
</sst>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.000"/>
    <numFmt numFmtId="165" formatCode="#,##0.000\ &quot;zł&quot;;[Red]\-#,##0.000\ &quot;zł&quot;"/>
    <numFmt numFmtId="166" formatCode="#,##0.00_ ;\-#,##0.00\ "/>
    <numFmt numFmtId="167" formatCode="#,##0.000"/>
  </numFmts>
  <fonts count="20" x14ac:knownFonts="1">
    <font>
      <sz val="11"/>
      <color theme="1"/>
      <name val="Arial"/>
      <family val="2"/>
      <charset val="238"/>
    </font>
    <font>
      <b/>
      <sz val="9"/>
      <name val="Cambria"/>
      <family val="1"/>
      <charset val="238"/>
      <scheme val="major"/>
    </font>
    <font>
      <b/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theme="1"/>
      <name val="Cambria"/>
      <family val="1"/>
      <charset val="238"/>
      <scheme val="major"/>
    </font>
    <font>
      <b/>
      <sz val="9"/>
      <color theme="1"/>
      <name val="Cambria"/>
      <family val="1"/>
      <charset val="238"/>
      <scheme val="major"/>
    </font>
    <font>
      <sz val="11"/>
      <color theme="1"/>
      <name val="Arial"/>
      <family val="2"/>
      <charset val="238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vertAlign val="superscript"/>
      <sz val="10"/>
      <color theme="1"/>
      <name val="Cambria"/>
      <family val="1"/>
      <charset val="238"/>
      <scheme val="major"/>
    </font>
    <font>
      <b/>
      <vertAlign val="superscript"/>
      <sz val="9"/>
      <color theme="1"/>
      <name val="Cambria"/>
      <family val="1"/>
      <charset val="238"/>
      <scheme val="major"/>
    </font>
    <font>
      <b/>
      <sz val="16"/>
      <color theme="1"/>
      <name val="Cambria"/>
      <family val="1"/>
      <charset val="238"/>
      <scheme val="maj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Cambria"/>
      <family val="1"/>
      <charset val="238"/>
      <scheme val="maj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u/>
      <sz val="11"/>
      <color rgb="FFFF0000"/>
      <name val="Calibri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5FFD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00CC66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1">
    <xf numFmtId="0" fontId="0" fillId="0" borderId="0" xfId="0"/>
    <xf numFmtId="0" fontId="1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Fill="1"/>
    <xf numFmtId="3" fontId="1" fillId="0" borderId="0" xfId="0" applyNumberFormat="1" applyFont="1" applyFill="1" applyAlignment="1">
      <alignment vertical="top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6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5" fillId="0" borderId="0" xfId="0" applyFont="1" applyFill="1" applyAlignment="1"/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0" fontId="8" fillId="0" borderId="16" xfId="0" applyFont="1" applyFill="1" applyBorder="1" applyAlignment="1">
      <alignment horizontal="center" vertical="center" wrapText="1"/>
    </xf>
    <xf numFmtId="165" fontId="8" fillId="0" borderId="16" xfId="2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 vertical="center"/>
    </xf>
    <xf numFmtId="164" fontId="7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center" vertical="center"/>
    </xf>
    <xf numFmtId="43" fontId="8" fillId="0" borderId="6" xfId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 wrapText="1"/>
    </xf>
    <xf numFmtId="9" fontId="8" fillId="0" borderId="1" xfId="3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9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0" fontId="7" fillId="5" borderId="8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10" fontId="7" fillId="0" borderId="1" xfId="3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right" vertical="center"/>
    </xf>
    <xf numFmtId="164" fontId="7" fillId="0" borderId="8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4" fontId="7" fillId="0" borderId="0" xfId="1" applyNumberFormat="1" applyFont="1" applyFill="1" applyBorder="1" applyAlignment="1">
      <alignment horizontal="right" vertical="center"/>
    </xf>
    <xf numFmtId="9" fontId="7" fillId="0" borderId="0" xfId="3" applyNumberFormat="1" applyFont="1" applyFill="1" applyBorder="1" applyAlignment="1">
      <alignment horizontal="right" vertical="center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right" vertical="center"/>
    </xf>
    <xf numFmtId="4" fontId="7" fillId="0" borderId="19" xfId="1" applyNumberFormat="1" applyFont="1" applyFill="1" applyBorder="1" applyAlignment="1">
      <alignment horizontal="right" vertical="center"/>
    </xf>
    <xf numFmtId="9" fontId="7" fillId="0" borderId="20" xfId="3" applyNumberFormat="1" applyFont="1" applyFill="1" applyBorder="1" applyAlignment="1">
      <alignment horizontal="right" vertical="center"/>
    </xf>
    <xf numFmtId="4" fontId="7" fillId="0" borderId="20" xfId="1" applyNumberFormat="1" applyFont="1" applyFill="1" applyBorder="1" applyAlignment="1">
      <alignment horizontal="right" vertical="center"/>
    </xf>
    <xf numFmtId="4" fontId="7" fillId="0" borderId="21" xfId="1" applyNumberFormat="1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/>
    </xf>
    <xf numFmtId="43" fontId="7" fillId="0" borderId="25" xfId="1" applyFont="1" applyFill="1" applyBorder="1" applyAlignment="1">
      <alignment horizontal="center" vertical="center"/>
    </xf>
    <xf numFmtId="43" fontId="7" fillId="0" borderId="26" xfId="1" applyFont="1" applyFill="1" applyBorder="1" applyAlignment="1">
      <alignment horizontal="center" vertical="center"/>
    </xf>
    <xf numFmtId="166" fontId="1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2" fillId="0" borderId="0" xfId="0" applyFont="1" applyFill="1"/>
    <xf numFmtId="4" fontId="7" fillId="0" borderId="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16" fillId="14" borderId="12" xfId="0" applyFont="1" applyFill="1" applyBorder="1" applyAlignment="1">
      <alignment vertical="center"/>
    </xf>
    <xf numFmtId="0" fontId="5" fillId="14" borderId="13" xfId="0" applyFont="1" applyFill="1" applyBorder="1"/>
    <xf numFmtId="0" fontId="1" fillId="14" borderId="13" xfId="0" applyFont="1" applyFill="1" applyBorder="1" applyAlignment="1">
      <alignment vertical="top" wrapText="1"/>
    </xf>
    <xf numFmtId="0" fontId="4" fillId="14" borderId="13" xfId="0" applyFont="1" applyFill="1" applyBorder="1" applyAlignment="1">
      <alignment vertical="top" wrapText="1"/>
    </xf>
    <xf numFmtId="0" fontId="2" fillId="14" borderId="13" xfId="0" applyFont="1" applyFill="1" applyBorder="1"/>
    <xf numFmtId="0" fontId="2" fillId="14" borderId="14" xfId="0" applyFont="1" applyFill="1" applyBorder="1"/>
    <xf numFmtId="0" fontId="18" fillId="14" borderId="37" xfId="0" applyFont="1" applyFill="1" applyBorder="1" applyAlignment="1">
      <alignment vertical="center"/>
    </xf>
    <xf numFmtId="0" fontId="5" fillId="14" borderId="0" xfId="0" applyFont="1" applyFill="1" applyBorder="1"/>
    <xf numFmtId="0" fontId="1" fillId="14" borderId="0" xfId="0" applyFont="1" applyFill="1" applyBorder="1" applyAlignment="1">
      <alignment vertical="top" wrapText="1"/>
    </xf>
    <xf numFmtId="0" fontId="5" fillId="14" borderId="38" xfId="0" applyFont="1" applyFill="1" applyBorder="1"/>
    <xf numFmtId="0" fontId="16" fillId="14" borderId="37" xfId="0" applyFont="1" applyFill="1" applyBorder="1" applyAlignment="1">
      <alignment vertical="center"/>
    </xf>
    <xf numFmtId="0" fontId="16" fillId="14" borderId="39" xfId="0" applyFont="1" applyFill="1" applyBorder="1" applyAlignment="1">
      <alignment vertical="center"/>
    </xf>
    <xf numFmtId="0" fontId="5" fillId="14" borderId="40" xfId="0" applyFont="1" applyFill="1" applyBorder="1"/>
    <xf numFmtId="0" fontId="5" fillId="14" borderId="41" xfId="0" applyFont="1" applyFill="1" applyBorder="1"/>
    <xf numFmtId="167" fontId="7" fillId="4" borderId="6" xfId="0" applyNumberFormat="1" applyFont="1" applyFill="1" applyBorder="1" applyAlignment="1">
      <alignment horizontal="right" vertical="center"/>
    </xf>
    <xf numFmtId="167" fontId="7" fillId="4" borderId="42" xfId="0" applyNumberFormat="1" applyFont="1" applyFill="1" applyBorder="1" applyAlignment="1">
      <alignment horizontal="right" vertical="center"/>
    </xf>
    <xf numFmtId="4" fontId="7" fillId="0" borderId="32" xfId="1" applyNumberFormat="1" applyFont="1" applyFill="1" applyBorder="1" applyAlignment="1">
      <alignment horizontal="right" vertical="center"/>
    </xf>
    <xf numFmtId="9" fontId="7" fillId="0" borderId="31" xfId="3" applyNumberFormat="1" applyFont="1" applyFill="1" applyBorder="1" applyAlignment="1">
      <alignment horizontal="right" vertical="center"/>
    </xf>
    <xf numFmtId="4" fontId="7" fillId="0" borderId="31" xfId="1" applyNumberFormat="1" applyFont="1" applyFill="1" applyBorder="1" applyAlignment="1">
      <alignment horizontal="right" vertical="center"/>
    </xf>
    <xf numFmtId="4" fontId="7" fillId="0" borderId="30" xfId="1" applyNumberFormat="1" applyFont="1" applyFill="1" applyBorder="1" applyAlignment="1">
      <alignment horizontal="right" vertical="center"/>
    </xf>
    <xf numFmtId="9" fontId="8" fillId="0" borderId="6" xfId="3" applyFont="1" applyFill="1" applyBorder="1" applyAlignment="1">
      <alignment horizontal="right" vertical="center"/>
    </xf>
    <xf numFmtId="4" fontId="8" fillId="0" borderId="6" xfId="0" applyNumberFormat="1" applyFont="1" applyFill="1" applyBorder="1" applyAlignment="1">
      <alignment horizontal="right" vertical="center"/>
    </xf>
    <xf numFmtId="4" fontId="8" fillId="0" borderId="7" xfId="0" applyNumberFormat="1" applyFont="1" applyFill="1" applyBorder="1" applyAlignment="1">
      <alignment horizontal="right" vertical="center"/>
    </xf>
    <xf numFmtId="167" fontId="7" fillId="4" borderId="44" xfId="0" applyNumberFormat="1" applyFont="1" applyFill="1" applyBorder="1" applyAlignment="1">
      <alignment horizontal="right" vertical="center"/>
    </xf>
    <xf numFmtId="4" fontId="7" fillId="0" borderId="43" xfId="0" applyNumberFormat="1" applyFont="1" applyFill="1" applyBorder="1" applyAlignment="1">
      <alignment horizontal="right" vertical="center"/>
    </xf>
    <xf numFmtId="4" fontId="7" fillId="0" borderId="45" xfId="0" applyNumberFormat="1" applyFont="1" applyFill="1" applyBorder="1" applyAlignment="1">
      <alignment horizontal="right" vertical="center"/>
    </xf>
    <xf numFmtId="4" fontId="7" fillId="0" borderId="44" xfId="1" applyNumberFormat="1" applyFont="1" applyFill="1" applyBorder="1" applyAlignment="1">
      <alignment horizontal="right" vertical="center"/>
    </xf>
    <xf numFmtId="4" fontId="7" fillId="0" borderId="42" xfId="1" applyNumberFormat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167" fontId="7" fillId="4" borderId="3" xfId="0" applyNumberFormat="1" applyFont="1" applyFill="1" applyBorder="1" applyAlignment="1">
      <alignment horizontal="right" vertical="center"/>
    </xf>
    <xf numFmtId="167" fontId="7" fillId="4" borderId="2" xfId="0" applyNumberFormat="1" applyFont="1" applyFill="1" applyBorder="1" applyAlignment="1">
      <alignment horizontal="right" vertical="center"/>
    </xf>
    <xf numFmtId="4" fontId="7" fillId="4" borderId="2" xfId="0" applyNumberFormat="1" applyFont="1" applyFill="1" applyBorder="1" applyAlignment="1">
      <alignment horizontal="right" vertical="center"/>
    </xf>
    <xf numFmtId="4" fontId="7" fillId="0" borderId="4" xfId="0" applyNumberFormat="1" applyFont="1" applyFill="1" applyBorder="1" applyAlignment="1">
      <alignment horizontal="right" vertical="center"/>
    </xf>
    <xf numFmtId="164" fontId="7" fillId="0" borderId="11" xfId="0" applyNumberFormat="1" applyFont="1" applyFill="1" applyBorder="1" applyAlignment="1">
      <alignment horizontal="center" vertical="center"/>
    </xf>
    <xf numFmtId="43" fontId="8" fillId="0" borderId="2" xfId="1" applyFont="1" applyFill="1" applyBorder="1" applyAlignment="1">
      <alignment horizontal="right" vertical="center"/>
    </xf>
    <xf numFmtId="164" fontId="7" fillId="0" borderId="2" xfId="0" applyNumberFormat="1" applyFont="1" applyFill="1" applyBorder="1" applyAlignment="1">
      <alignment horizontal="center" vertical="center"/>
    </xf>
    <xf numFmtId="166" fontId="7" fillId="0" borderId="2" xfId="1" applyNumberFormat="1" applyFont="1" applyFill="1" applyBorder="1" applyAlignment="1">
      <alignment horizontal="right" vertical="center"/>
    </xf>
    <xf numFmtId="43" fontId="7" fillId="0" borderId="24" xfId="1" applyFont="1" applyFill="1" applyBorder="1" applyAlignment="1">
      <alignment horizontal="center" vertical="center"/>
    </xf>
    <xf numFmtId="4" fontId="7" fillId="0" borderId="3" xfId="1" applyNumberFormat="1" applyFont="1" applyFill="1" applyBorder="1" applyAlignment="1">
      <alignment horizontal="right" vertical="center"/>
    </xf>
    <xf numFmtId="9" fontId="8" fillId="0" borderId="2" xfId="3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/>
    </xf>
    <xf numFmtId="0" fontId="7" fillId="9" borderId="10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10" fontId="7" fillId="0" borderId="6" xfId="3" applyNumberFormat="1" applyFont="1" applyFill="1" applyBorder="1" applyAlignment="1">
      <alignment horizontal="center" vertical="center" wrapText="1"/>
    </xf>
    <xf numFmtId="10" fontId="7" fillId="0" borderId="6" xfId="0" applyNumberFormat="1" applyFont="1" applyFill="1" applyBorder="1" applyAlignment="1">
      <alignment horizontal="center" vertical="center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7" fillId="15" borderId="1" xfId="0" applyNumberFormat="1" applyFont="1" applyFill="1" applyBorder="1" applyAlignment="1">
      <alignment horizontal="center" vertical="center"/>
    </xf>
    <xf numFmtId="0" fontId="7" fillId="15" borderId="6" xfId="0" applyNumberFormat="1" applyFont="1" applyFill="1" applyBorder="1" applyAlignment="1">
      <alignment horizontal="center" vertical="center"/>
    </xf>
    <xf numFmtId="0" fontId="16" fillId="14" borderId="37" xfId="0" applyFont="1" applyFill="1" applyBorder="1" applyAlignment="1">
      <alignment horizontal="left" vertical="center" wrapText="1"/>
    </xf>
    <xf numFmtId="0" fontId="16" fillId="14" borderId="0" xfId="0" applyFont="1" applyFill="1" applyBorder="1" applyAlignment="1">
      <alignment horizontal="left" vertical="center" wrapText="1"/>
    </xf>
    <xf numFmtId="0" fontId="16" fillId="14" borderId="38" xfId="0" applyFont="1" applyFill="1" applyBorder="1" applyAlignment="1">
      <alignment horizontal="left" vertical="center" wrapText="1"/>
    </xf>
    <xf numFmtId="0" fontId="19" fillId="14" borderId="37" xfId="0" applyFont="1" applyFill="1" applyBorder="1" applyAlignment="1">
      <alignment horizontal="left" vertical="center" wrapText="1"/>
    </xf>
    <xf numFmtId="0" fontId="19" fillId="14" borderId="0" xfId="0" applyFont="1" applyFill="1" applyBorder="1" applyAlignment="1">
      <alignment horizontal="left" vertical="center" wrapText="1"/>
    </xf>
    <xf numFmtId="0" fontId="19" fillId="14" borderId="38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10" borderId="19" xfId="0" applyFont="1" applyFill="1" applyBorder="1" applyAlignment="1">
      <alignment horizontal="center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12" fillId="10" borderId="2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wrapText="1"/>
    </xf>
    <xf numFmtId="0" fontId="12" fillId="13" borderId="34" xfId="0" applyFont="1" applyFill="1" applyBorder="1" applyAlignment="1">
      <alignment horizontal="center" vertical="center" wrapText="1"/>
    </xf>
    <xf numFmtId="0" fontId="12" fillId="13" borderId="35" xfId="0" applyFont="1" applyFill="1" applyBorder="1" applyAlignment="1">
      <alignment horizontal="center" vertical="center" wrapText="1"/>
    </xf>
    <xf numFmtId="0" fontId="12" fillId="13" borderId="3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3" fillId="11" borderId="1" xfId="0" applyFont="1" applyFill="1" applyBorder="1" applyAlignment="1">
      <alignment horizontal="center" vertical="center"/>
    </xf>
  </cellXfs>
  <cellStyles count="4">
    <cellStyle name="Dziesiętny" xfId="1" builtinId="3"/>
    <cellStyle name="Normalny" xfId="0" builtinId="0"/>
    <cellStyle name="Procentowy" xfId="3" builtinId="5"/>
    <cellStyle name="Walutowy" xfId="2" builtinId="4"/>
  </cellStyles>
  <dxfs count="0"/>
  <tableStyles count="0" defaultTableStyle="TableStyleMedium2" defaultPivotStyle="PivotStyleLight16"/>
  <colors>
    <mruColors>
      <color rgb="FF00CC66"/>
      <color rgb="FFCCCCFF"/>
      <color rgb="FF43BC00"/>
      <color rgb="FFC5FFD4"/>
      <color rgb="FF00EA75"/>
      <color rgb="FF00FF00"/>
      <color rgb="FF99FF66"/>
      <color rgb="FFECFAF4"/>
      <color rgb="FFD0F4E4"/>
      <color rgb="FFB0ECD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85"/>
  <sheetViews>
    <sheetView showGridLines="0" tabSelected="1" zoomScale="55" zoomScaleNormal="55" zoomScaleSheetLayoutView="55" zoomScalePageLayoutView="70" workbookViewId="0">
      <selection activeCell="I27" sqref="I27"/>
    </sheetView>
  </sheetViews>
  <sheetFormatPr defaultRowHeight="24.95" customHeight="1" x14ac:dyDescent="0.2"/>
  <cols>
    <col min="1" max="1" width="3.875" style="3" customWidth="1"/>
    <col min="2" max="2" width="21.5" style="3" customWidth="1"/>
    <col min="3" max="3" width="9.625" style="3" customWidth="1"/>
    <col min="4" max="6" width="10.125" style="3" customWidth="1"/>
    <col min="7" max="9" width="8.375" style="3" customWidth="1"/>
    <col min="10" max="13" width="10.875" style="3" customWidth="1"/>
    <col min="14" max="14" width="23.125" style="3" customWidth="1"/>
    <col min="15" max="20" width="11" style="3" customWidth="1"/>
    <col min="21" max="21" width="17.75" style="3" customWidth="1"/>
    <col min="22" max="24" width="15" style="3" customWidth="1"/>
    <col min="25" max="25" width="25.375" style="3" customWidth="1"/>
    <col min="26" max="26" width="17.375" style="3" customWidth="1"/>
    <col min="27" max="27" width="14.375" style="3" customWidth="1"/>
    <col min="28" max="28" width="10.5" style="3" customWidth="1"/>
    <col min="29" max="29" width="13.25" style="3" customWidth="1"/>
    <col min="30" max="30" width="14.625" style="3" customWidth="1"/>
    <col min="31" max="16384" width="9" style="3"/>
  </cols>
  <sheetData>
    <row r="1" spans="2:30" ht="6.75" customHeight="1" x14ac:dyDescent="0.2"/>
    <row r="2" spans="2:30" ht="29.25" customHeight="1" x14ac:dyDescent="0.2">
      <c r="AD2" s="16" t="s">
        <v>85</v>
      </c>
    </row>
    <row r="3" spans="2:30" ht="39" customHeight="1" thickBot="1" x14ac:dyDescent="0.25">
      <c r="O3" s="3" t="s">
        <v>59</v>
      </c>
      <c r="Y3" s="5"/>
      <c r="Z3" s="6"/>
      <c r="AA3" s="6"/>
      <c r="AD3" s="16"/>
    </row>
    <row r="4" spans="2:30" ht="57.75" customHeight="1" thickBot="1" x14ac:dyDescent="0.25">
      <c r="B4" s="153" t="s">
        <v>60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5"/>
    </row>
    <row r="5" spans="2:30" ht="38.25" customHeight="1" thickBot="1" x14ac:dyDescent="0.25">
      <c r="B5" s="167" t="s">
        <v>21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9"/>
      <c r="O5" s="171" t="s">
        <v>5</v>
      </c>
      <c r="P5" s="171"/>
      <c r="Q5" s="171"/>
      <c r="R5" s="171"/>
      <c r="S5" s="171"/>
      <c r="T5" s="171"/>
      <c r="U5" s="171"/>
      <c r="V5" s="160" t="s">
        <v>29</v>
      </c>
      <c r="W5" s="161"/>
      <c r="X5" s="161"/>
      <c r="Y5" s="161"/>
      <c r="Z5" s="162"/>
      <c r="AA5" s="151" t="s">
        <v>34</v>
      </c>
      <c r="AB5" s="151"/>
      <c r="AC5" s="151"/>
      <c r="AD5" s="152"/>
    </row>
    <row r="6" spans="2:30" ht="102" customHeight="1" x14ac:dyDescent="0.2">
      <c r="B6" s="140" t="s">
        <v>45</v>
      </c>
      <c r="C6" s="134" t="s">
        <v>1</v>
      </c>
      <c r="D6" s="135"/>
      <c r="E6" s="135"/>
      <c r="F6" s="136"/>
      <c r="G6" s="137" t="s">
        <v>3</v>
      </c>
      <c r="H6" s="137" t="s">
        <v>0</v>
      </c>
      <c r="I6" s="137" t="s">
        <v>6</v>
      </c>
      <c r="J6" s="139" t="s">
        <v>22</v>
      </c>
      <c r="K6" s="139"/>
      <c r="L6" s="139" t="s">
        <v>23</v>
      </c>
      <c r="M6" s="139"/>
      <c r="N6" s="163" t="s">
        <v>58</v>
      </c>
      <c r="O6" s="170" t="s">
        <v>41</v>
      </c>
      <c r="P6" s="139"/>
      <c r="Q6" s="139" t="s">
        <v>42</v>
      </c>
      <c r="R6" s="139"/>
      <c r="S6" s="142" t="s">
        <v>50</v>
      </c>
      <c r="T6" s="143"/>
      <c r="U6" s="163" t="s">
        <v>57</v>
      </c>
      <c r="V6" s="144" t="s">
        <v>2</v>
      </c>
      <c r="W6" s="137" t="s">
        <v>61</v>
      </c>
      <c r="X6" s="146" t="s">
        <v>63</v>
      </c>
      <c r="Y6" s="137" t="s">
        <v>64</v>
      </c>
      <c r="Z6" s="163" t="s">
        <v>65</v>
      </c>
      <c r="AA6" s="156" t="s">
        <v>66</v>
      </c>
      <c r="AB6" s="158" t="s">
        <v>43</v>
      </c>
      <c r="AC6" s="158" t="s">
        <v>67</v>
      </c>
      <c r="AD6" s="165" t="s">
        <v>68</v>
      </c>
    </row>
    <row r="7" spans="2:30" ht="106.5" customHeight="1" thickBot="1" x14ac:dyDescent="0.25">
      <c r="B7" s="141"/>
      <c r="C7" s="21" t="s">
        <v>44</v>
      </c>
      <c r="D7" s="22" t="s">
        <v>20</v>
      </c>
      <c r="E7" s="21" t="s">
        <v>55</v>
      </c>
      <c r="F7" s="22" t="s">
        <v>56</v>
      </c>
      <c r="G7" s="138"/>
      <c r="H7" s="138"/>
      <c r="I7" s="138"/>
      <c r="J7" s="21" t="s">
        <v>44</v>
      </c>
      <c r="K7" s="21" t="s">
        <v>20</v>
      </c>
      <c r="L7" s="21" t="s">
        <v>44</v>
      </c>
      <c r="M7" s="21" t="s">
        <v>20</v>
      </c>
      <c r="N7" s="164"/>
      <c r="O7" s="31" t="s">
        <v>44</v>
      </c>
      <c r="P7" s="22" t="s">
        <v>20</v>
      </c>
      <c r="Q7" s="21" t="s">
        <v>44</v>
      </c>
      <c r="R7" s="21" t="s">
        <v>20</v>
      </c>
      <c r="S7" s="21" t="s">
        <v>44</v>
      </c>
      <c r="T7" s="22" t="s">
        <v>20</v>
      </c>
      <c r="U7" s="164"/>
      <c r="V7" s="145"/>
      <c r="W7" s="138"/>
      <c r="X7" s="147"/>
      <c r="Y7" s="138"/>
      <c r="Z7" s="164"/>
      <c r="AA7" s="157"/>
      <c r="AB7" s="159"/>
      <c r="AC7" s="159"/>
      <c r="AD7" s="166"/>
    </row>
    <row r="8" spans="2:30" ht="19.5" customHeight="1" thickBot="1" x14ac:dyDescent="0.25">
      <c r="B8" s="68" t="s">
        <v>7</v>
      </c>
      <c r="C8" s="69" t="s">
        <v>8</v>
      </c>
      <c r="D8" s="69" t="s">
        <v>9</v>
      </c>
      <c r="E8" s="69" t="s">
        <v>10</v>
      </c>
      <c r="F8" s="69" t="s">
        <v>11</v>
      </c>
      <c r="G8" s="69" t="s">
        <v>12</v>
      </c>
      <c r="H8" s="69" t="s">
        <v>13</v>
      </c>
      <c r="I8" s="69" t="s">
        <v>14</v>
      </c>
      <c r="J8" s="69" t="s">
        <v>15</v>
      </c>
      <c r="K8" s="69" t="s">
        <v>16</v>
      </c>
      <c r="L8" s="69" t="s">
        <v>17</v>
      </c>
      <c r="M8" s="69" t="s">
        <v>24</v>
      </c>
      <c r="N8" s="70" t="s">
        <v>25</v>
      </c>
      <c r="O8" s="99" t="s">
        <v>26</v>
      </c>
      <c r="P8" s="69" t="s">
        <v>27</v>
      </c>
      <c r="Q8" s="69" t="s">
        <v>28</v>
      </c>
      <c r="R8" s="69" t="s">
        <v>30</v>
      </c>
      <c r="S8" s="69" t="s">
        <v>31</v>
      </c>
      <c r="T8" s="69" t="s">
        <v>32</v>
      </c>
      <c r="U8" s="100" t="s">
        <v>33</v>
      </c>
      <c r="V8" s="68" t="s">
        <v>35</v>
      </c>
      <c r="W8" s="69" t="s">
        <v>36</v>
      </c>
      <c r="X8" s="69" t="s">
        <v>37</v>
      </c>
      <c r="Y8" s="69" t="s">
        <v>38</v>
      </c>
      <c r="Z8" s="101" t="s">
        <v>39</v>
      </c>
      <c r="AA8" s="99" t="s">
        <v>51</v>
      </c>
      <c r="AB8" s="69" t="s">
        <v>52</v>
      </c>
      <c r="AC8" s="69" t="s">
        <v>53</v>
      </c>
      <c r="AD8" s="70" t="s">
        <v>54</v>
      </c>
    </row>
    <row r="9" spans="2:30" ht="30.75" customHeight="1" x14ac:dyDescent="0.2">
      <c r="B9" s="102" t="s">
        <v>47</v>
      </c>
      <c r="C9" s="103">
        <v>32</v>
      </c>
      <c r="D9" s="103">
        <v>0</v>
      </c>
      <c r="E9" s="104">
        <v>1</v>
      </c>
      <c r="F9" s="104">
        <f>100%-E9</f>
        <v>0</v>
      </c>
      <c r="G9" s="30" t="s">
        <v>4</v>
      </c>
      <c r="H9" s="103">
        <v>11</v>
      </c>
      <c r="I9" s="103" t="s">
        <v>40</v>
      </c>
      <c r="J9" s="105">
        <v>25410</v>
      </c>
      <c r="K9" s="105">
        <v>0</v>
      </c>
      <c r="L9" s="105">
        <v>990</v>
      </c>
      <c r="M9" s="105">
        <v>0</v>
      </c>
      <c r="N9" s="106">
        <f t="shared" ref="N9:N11" si="0">+J9+K9+L9+M9</f>
        <v>26400</v>
      </c>
      <c r="O9" s="107">
        <v>23.965</v>
      </c>
      <c r="P9" s="108"/>
      <c r="Q9" s="108">
        <v>24.355</v>
      </c>
      <c r="R9" s="108"/>
      <c r="S9" s="109">
        <v>6.49</v>
      </c>
      <c r="T9" s="109"/>
      <c r="U9" s="110">
        <f>+ROUND((J9*O9/100+K9*P9/100+L9*Q9/100+M9*R9/100+C9*H9*S9+D9*H9*T9),2)</f>
        <v>8615.1</v>
      </c>
      <c r="V9" s="111">
        <f>VLOOKUP($B9,'Taryfa PSG'!$B$4:$D$10,2,0)</f>
        <v>6.7640000000000002</v>
      </c>
      <c r="W9" s="112">
        <f>+ROUND(N9*V9/100,2)</f>
        <v>1785.7</v>
      </c>
      <c r="X9" s="113">
        <f>VLOOKUP($B9,'Taryfa PSG'!$B$4:$D$10,3,0)</f>
        <v>4.5999999999999996</v>
      </c>
      <c r="Y9" s="114">
        <f>+ROUND((C9+D9)*H9*X9,2)</f>
        <v>1619.2</v>
      </c>
      <c r="Z9" s="115">
        <f t="shared" ref="Z9:Z35" si="1">+W9+Y9</f>
        <v>3404.9</v>
      </c>
      <c r="AA9" s="116">
        <f t="shared" ref="AA9:AA35" si="2">+U9+Z9</f>
        <v>12020</v>
      </c>
      <c r="AB9" s="117">
        <v>0.23</v>
      </c>
      <c r="AC9" s="118">
        <f>+ROUND(AA9*AB9,2)</f>
        <v>2764.6</v>
      </c>
      <c r="AD9" s="119">
        <f>+AC9+AA9</f>
        <v>14784.6</v>
      </c>
    </row>
    <row r="10" spans="2:30" ht="30.75" customHeight="1" x14ac:dyDescent="0.2">
      <c r="B10" s="46" t="s">
        <v>47</v>
      </c>
      <c r="C10" s="13">
        <v>3</v>
      </c>
      <c r="D10" s="13">
        <v>0</v>
      </c>
      <c r="E10" s="29">
        <v>0.5</v>
      </c>
      <c r="F10" s="29">
        <f t="shared" ref="F10:F11" si="3">100%-E10</f>
        <v>0.5</v>
      </c>
      <c r="G10" s="28" t="s">
        <v>4</v>
      </c>
      <c r="H10" s="13">
        <v>11</v>
      </c>
      <c r="I10" s="13" t="s">
        <v>40</v>
      </c>
      <c r="J10" s="23">
        <v>2365</v>
      </c>
      <c r="K10" s="23">
        <v>2365</v>
      </c>
      <c r="L10" s="23">
        <v>0</v>
      </c>
      <c r="M10" s="23">
        <v>0</v>
      </c>
      <c r="N10" s="40">
        <f t="shared" si="0"/>
        <v>4730</v>
      </c>
      <c r="O10" s="94">
        <v>23.965</v>
      </c>
      <c r="P10" s="35"/>
      <c r="Q10" s="35">
        <v>24.355</v>
      </c>
      <c r="R10" s="35"/>
      <c r="S10" s="20">
        <v>6.49</v>
      </c>
      <c r="T10" s="20"/>
      <c r="U10" s="95">
        <f t="shared" ref="U10:U11" si="4">+ROUND((J10*O10/100+K10*P10/100+L10*Q10/100+M10*R10/100+C10*H10*S10+D10*H10*T10),2)</f>
        <v>780.94</v>
      </c>
      <c r="V10" s="41">
        <f>VLOOKUP($B10,'Taryfa PSG'!$B$4:$D$10,2,0)</f>
        <v>6.7640000000000002</v>
      </c>
      <c r="W10" s="25">
        <f t="shared" ref="W10:W11" si="5">+ROUND(N10*V10/100,2)</f>
        <v>319.94</v>
      </c>
      <c r="X10" s="24">
        <f>VLOOKUP($B10,'Taryfa PSG'!$B$4:$D$10,3,0)</f>
        <v>4.5999999999999996</v>
      </c>
      <c r="Y10" s="14">
        <f t="shared" ref="Y10:Y11" si="6">+ROUND((C10+D10)*H10*X10,2)</f>
        <v>151.80000000000001</v>
      </c>
      <c r="Z10" s="60">
        <f t="shared" ref="Z10:Z11" si="7">+W10+Y10</f>
        <v>471.74</v>
      </c>
      <c r="AA10" s="97">
        <f t="shared" ref="AA10:AA11" si="8">+U10+Z10</f>
        <v>1252.68</v>
      </c>
      <c r="AB10" s="32">
        <v>0.23</v>
      </c>
      <c r="AC10" s="33">
        <f t="shared" ref="AC10:AC11" si="9">+ROUND(AA10*AB10,2)</f>
        <v>288.12</v>
      </c>
      <c r="AD10" s="34">
        <f t="shared" ref="AD10:AD11" si="10">+AC10+AA10</f>
        <v>1540.8000000000002</v>
      </c>
    </row>
    <row r="11" spans="2:30" ht="30.75" customHeight="1" x14ac:dyDescent="0.2">
      <c r="B11" s="46" t="s">
        <v>47</v>
      </c>
      <c r="C11" s="13">
        <v>0</v>
      </c>
      <c r="D11" s="13">
        <v>8</v>
      </c>
      <c r="E11" s="29">
        <v>0</v>
      </c>
      <c r="F11" s="29">
        <f t="shared" si="3"/>
        <v>1</v>
      </c>
      <c r="G11" s="28" t="s">
        <v>4</v>
      </c>
      <c r="H11" s="13">
        <v>11</v>
      </c>
      <c r="I11" s="13" t="s">
        <v>40</v>
      </c>
      <c r="J11" s="23">
        <v>0</v>
      </c>
      <c r="K11" s="23">
        <v>5940</v>
      </c>
      <c r="L11" s="23">
        <v>0</v>
      </c>
      <c r="M11" s="23">
        <v>0</v>
      </c>
      <c r="N11" s="40">
        <f t="shared" si="0"/>
        <v>5940</v>
      </c>
      <c r="O11" s="94">
        <v>23.965</v>
      </c>
      <c r="P11" s="35"/>
      <c r="Q11" s="35">
        <v>24.355</v>
      </c>
      <c r="R11" s="35"/>
      <c r="S11" s="20">
        <v>6.49</v>
      </c>
      <c r="T11" s="20"/>
      <c r="U11" s="95">
        <f t="shared" si="4"/>
        <v>0</v>
      </c>
      <c r="V11" s="41">
        <f>VLOOKUP($B11,'Taryfa PSG'!$B$4:$D$10,2,0)</f>
        <v>6.7640000000000002</v>
      </c>
      <c r="W11" s="25">
        <f t="shared" si="5"/>
        <v>401.78</v>
      </c>
      <c r="X11" s="24">
        <f>VLOOKUP($B11,'Taryfa PSG'!$B$4:$D$10,3,0)</f>
        <v>4.5999999999999996</v>
      </c>
      <c r="Y11" s="14">
        <f t="shared" si="6"/>
        <v>404.8</v>
      </c>
      <c r="Z11" s="60">
        <f t="shared" si="7"/>
        <v>806.57999999999993</v>
      </c>
      <c r="AA11" s="97">
        <f t="shared" si="8"/>
        <v>806.57999999999993</v>
      </c>
      <c r="AB11" s="32">
        <v>0.23</v>
      </c>
      <c r="AC11" s="33">
        <f t="shared" si="9"/>
        <v>185.51</v>
      </c>
      <c r="AD11" s="34">
        <f t="shared" si="10"/>
        <v>992.08999999999992</v>
      </c>
    </row>
    <row r="12" spans="2:30" ht="30.75" customHeight="1" x14ac:dyDescent="0.2">
      <c r="B12" s="38" t="s">
        <v>48</v>
      </c>
      <c r="C12" s="13">
        <v>29</v>
      </c>
      <c r="D12" s="13">
        <v>0</v>
      </c>
      <c r="E12" s="29">
        <v>1</v>
      </c>
      <c r="F12" s="29">
        <f t="shared" ref="F12:F35" si="11">100%-E12</f>
        <v>0</v>
      </c>
      <c r="G12" s="28" t="s">
        <v>4</v>
      </c>
      <c r="H12" s="13">
        <v>11</v>
      </c>
      <c r="I12" s="13" t="s">
        <v>40</v>
      </c>
      <c r="J12" s="23">
        <v>209580</v>
      </c>
      <c r="K12" s="23">
        <v>0</v>
      </c>
      <c r="L12" s="23">
        <v>8690</v>
      </c>
      <c r="M12" s="23">
        <v>0</v>
      </c>
      <c r="N12" s="40">
        <f t="shared" ref="N12:N13" si="12">+J12+K12+L12+M12</f>
        <v>218270</v>
      </c>
      <c r="O12" s="94">
        <v>23.965</v>
      </c>
      <c r="P12" s="35"/>
      <c r="Q12" s="35">
        <v>24.355</v>
      </c>
      <c r="R12" s="35"/>
      <c r="S12" s="20">
        <v>8.81</v>
      </c>
      <c r="T12" s="20"/>
      <c r="U12" s="95">
        <f t="shared" ref="U12:U13" si="13">+ROUND((J12*O12/100+K12*P12/100+L12*Q12/100+M12*R12/100+C12*H12*S12+D12*H12*T12),2)</f>
        <v>55152.69</v>
      </c>
      <c r="V12" s="41">
        <f>VLOOKUP($B12,'Taryfa PSG'!$B$4:$D$10,2,0)</f>
        <v>4.92</v>
      </c>
      <c r="W12" s="25">
        <f t="shared" ref="W12:W35" si="14">+ROUND(N12*V12/100,2)</f>
        <v>10738.88</v>
      </c>
      <c r="X12" s="24">
        <f>VLOOKUP($B12,'Taryfa PSG'!$B$4:$D$10,3,0)</f>
        <v>11.7</v>
      </c>
      <c r="Y12" s="14">
        <f t="shared" ref="Y12:Y23" si="15">+ROUND((C12+D12)*H12*X12,2)</f>
        <v>3732.3</v>
      </c>
      <c r="Z12" s="60">
        <f t="shared" si="1"/>
        <v>14471.18</v>
      </c>
      <c r="AA12" s="97">
        <f t="shared" si="2"/>
        <v>69623.87</v>
      </c>
      <c r="AB12" s="32">
        <v>0.23</v>
      </c>
      <c r="AC12" s="33">
        <f t="shared" ref="AC12:AC35" si="16">+ROUND(AA12*AB12,2)</f>
        <v>16013.49</v>
      </c>
      <c r="AD12" s="34">
        <f t="shared" ref="AD12:AD13" si="17">+AC12+AA12</f>
        <v>85637.36</v>
      </c>
    </row>
    <row r="13" spans="2:30" ht="30.75" customHeight="1" x14ac:dyDescent="0.2">
      <c r="B13" s="38" t="s">
        <v>48</v>
      </c>
      <c r="C13" s="13">
        <v>2</v>
      </c>
      <c r="D13" s="13">
        <v>0</v>
      </c>
      <c r="E13" s="29">
        <v>0.5</v>
      </c>
      <c r="F13" s="29">
        <f t="shared" si="11"/>
        <v>0.5</v>
      </c>
      <c r="G13" s="28" t="s">
        <v>4</v>
      </c>
      <c r="H13" s="13">
        <v>11</v>
      </c>
      <c r="I13" s="13" t="s">
        <v>40</v>
      </c>
      <c r="J13" s="23">
        <v>5555</v>
      </c>
      <c r="K13" s="23">
        <v>5555</v>
      </c>
      <c r="L13" s="23">
        <v>0</v>
      </c>
      <c r="M13" s="23">
        <v>0</v>
      </c>
      <c r="N13" s="40">
        <f t="shared" si="12"/>
        <v>11110</v>
      </c>
      <c r="O13" s="94">
        <v>23.965</v>
      </c>
      <c r="P13" s="35"/>
      <c r="Q13" s="35">
        <v>24.355</v>
      </c>
      <c r="R13" s="35"/>
      <c r="S13" s="20">
        <v>8.81</v>
      </c>
      <c r="T13" s="20"/>
      <c r="U13" s="95">
        <f t="shared" si="13"/>
        <v>1525.08</v>
      </c>
      <c r="V13" s="41">
        <f>VLOOKUP($B13,'Taryfa PSG'!$B$4:$D$10,2,0)</f>
        <v>4.92</v>
      </c>
      <c r="W13" s="25">
        <f t="shared" si="14"/>
        <v>546.61</v>
      </c>
      <c r="X13" s="24">
        <f>VLOOKUP($B13,'Taryfa PSG'!$B$4:$D$10,3,0)</f>
        <v>11.7</v>
      </c>
      <c r="Y13" s="14">
        <f t="shared" si="15"/>
        <v>257.39999999999998</v>
      </c>
      <c r="Z13" s="60">
        <f t="shared" si="1"/>
        <v>804.01</v>
      </c>
      <c r="AA13" s="97">
        <f t="shared" si="2"/>
        <v>2329.09</v>
      </c>
      <c r="AB13" s="32">
        <v>0.23</v>
      </c>
      <c r="AC13" s="33">
        <f t="shared" si="16"/>
        <v>535.69000000000005</v>
      </c>
      <c r="AD13" s="34">
        <f t="shared" si="17"/>
        <v>2864.78</v>
      </c>
    </row>
    <row r="14" spans="2:30" ht="30.75" customHeight="1" x14ac:dyDescent="0.2">
      <c r="B14" s="38" t="s">
        <v>48</v>
      </c>
      <c r="C14" s="13">
        <v>0</v>
      </c>
      <c r="D14" s="13">
        <v>8</v>
      </c>
      <c r="E14" s="29">
        <v>0</v>
      </c>
      <c r="F14" s="29">
        <f t="shared" ref="F14" si="18">100%-E14</f>
        <v>1</v>
      </c>
      <c r="G14" s="28" t="s">
        <v>4</v>
      </c>
      <c r="H14" s="13">
        <v>11</v>
      </c>
      <c r="I14" s="13" t="s">
        <v>40</v>
      </c>
      <c r="J14" s="23">
        <v>0</v>
      </c>
      <c r="K14" s="23">
        <v>50160</v>
      </c>
      <c r="L14" s="23">
        <v>0</v>
      </c>
      <c r="M14" s="23">
        <v>10230</v>
      </c>
      <c r="N14" s="40">
        <f t="shared" ref="N14" si="19">+J14+K14+L14+M14</f>
        <v>60390</v>
      </c>
      <c r="O14" s="94">
        <v>23.965</v>
      </c>
      <c r="P14" s="35"/>
      <c r="Q14" s="35">
        <v>24.355</v>
      </c>
      <c r="R14" s="35"/>
      <c r="S14" s="20">
        <v>8.81</v>
      </c>
      <c r="T14" s="20"/>
      <c r="U14" s="95">
        <f t="shared" ref="U14" si="20">+ROUND((J14*O14/100+K14*P14/100+L14*Q14/100+M14*R14/100+C14*H14*S14+D14*H14*T14),2)</f>
        <v>0</v>
      </c>
      <c r="V14" s="41">
        <f>VLOOKUP($B14,'Taryfa PSG'!$B$4:$D$10,2,0)</f>
        <v>4.92</v>
      </c>
      <c r="W14" s="25">
        <f t="shared" ref="W14" si="21">+ROUND(N14*V14/100,2)</f>
        <v>2971.19</v>
      </c>
      <c r="X14" s="24">
        <f>VLOOKUP($B14,'Taryfa PSG'!$B$4:$D$10,3,0)</f>
        <v>11.7</v>
      </c>
      <c r="Y14" s="14">
        <f t="shared" ref="Y14" si="22">+ROUND((C14+D14)*H14*X14,2)</f>
        <v>1029.5999999999999</v>
      </c>
      <c r="Z14" s="60">
        <f t="shared" ref="Z14" si="23">+W14+Y14</f>
        <v>4000.79</v>
      </c>
      <c r="AA14" s="97">
        <f t="shared" ref="AA14" si="24">+U14+Z14</f>
        <v>4000.79</v>
      </c>
      <c r="AB14" s="32">
        <v>0.23</v>
      </c>
      <c r="AC14" s="33">
        <f t="shared" ref="AC14" si="25">+ROUND(AA14*AB14,2)</f>
        <v>920.18</v>
      </c>
      <c r="AD14" s="34">
        <f t="shared" ref="AD14" si="26">+AC14+AA14</f>
        <v>4920.97</v>
      </c>
    </row>
    <row r="15" spans="2:30" ht="30.75" customHeight="1" x14ac:dyDescent="0.2">
      <c r="B15" s="37" t="s">
        <v>49</v>
      </c>
      <c r="C15" s="13">
        <v>77</v>
      </c>
      <c r="D15" s="13">
        <v>0</v>
      </c>
      <c r="E15" s="29">
        <v>1</v>
      </c>
      <c r="F15" s="29">
        <f t="shared" si="11"/>
        <v>0</v>
      </c>
      <c r="G15" s="28" t="s">
        <v>4</v>
      </c>
      <c r="H15" s="13">
        <v>11</v>
      </c>
      <c r="I15" s="13" t="s">
        <v>40</v>
      </c>
      <c r="J15" s="23">
        <v>2277526</v>
      </c>
      <c r="K15" s="23">
        <v>0</v>
      </c>
      <c r="L15" s="23">
        <v>242384</v>
      </c>
      <c r="M15" s="23">
        <v>0</v>
      </c>
      <c r="N15" s="40">
        <f t="shared" ref="N15:N18" si="27">+J15+K15+L15+M15</f>
        <v>2519910</v>
      </c>
      <c r="O15" s="94">
        <v>23.965</v>
      </c>
      <c r="P15" s="35"/>
      <c r="Q15" s="35">
        <v>24.355</v>
      </c>
      <c r="R15" s="35"/>
      <c r="S15" s="20">
        <v>10.02</v>
      </c>
      <c r="T15" s="20"/>
      <c r="U15" s="95">
        <f t="shared" ref="U15:U18" si="28">+ROUND((J15*O15/100+K15*P15/100+L15*Q15/100+M15*R15/100+C15*H15*S15+D15*H15*T15),2)</f>
        <v>613328.67000000004</v>
      </c>
      <c r="V15" s="41">
        <f>VLOOKUP($B15,'Taryfa PSG'!$B$4:$D$10,2,0)</f>
        <v>3.6890000000000001</v>
      </c>
      <c r="W15" s="25">
        <f t="shared" si="14"/>
        <v>92959.48</v>
      </c>
      <c r="X15" s="24">
        <f>VLOOKUP($B15,'Taryfa PSG'!$B$4:$D$10,3,0)</f>
        <v>45.19</v>
      </c>
      <c r="Y15" s="14">
        <f t="shared" si="15"/>
        <v>38275.93</v>
      </c>
      <c r="Z15" s="60">
        <f t="shared" si="1"/>
        <v>131235.41</v>
      </c>
      <c r="AA15" s="97">
        <f t="shared" si="2"/>
        <v>744564.08000000007</v>
      </c>
      <c r="AB15" s="32">
        <v>0.23</v>
      </c>
      <c r="AC15" s="33">
        <f t="shared" si="16"/>
        <v>171249.74</v>
      </c>
      <c r="AD15" s="34">
        <f t="shared" ref="AD15:AD18" si="29">+AC15+AA15</f>
        <v>915813.82000000007</v>
      </c>
    </row>
    <row r="16" spans="2:30" ht="30.75" customHeight="1" x14ac:dyDescent="0.2">
      <c r="B16" s="37" t="s">
        <v>49</v>
      </c>
      <c r="C16" s="13">
        <v>4</v>
      </c>
      <c r="D16" s="13">
        <v>0</v>
      </c>
      <c r="E16" s="29">
        <v>0.5</v>
      </c>
      <c r="F16" s="29">
        <f t="shared" si="11"/>
        <v>0.5</v>
      </c>
      <c r="G16" s="28" t="s">
        <v>4</v>
      </c>
      <c r="H16" s="13">
        <v>11</v>
      </c>
      <c r="I16" s="13" t="s">
        <v>40</v>
      </c>
      <c r="J16" s="23">
        <v>40515</v>
      </c>
      <c r="K16" s="23">
        <v>40515</v>
      </c>
      <c r="L16" s="23">
        <v>0</v>
      </c>
      <c r="M16" s="23">
        <v>0</v>
      </c>
      <c r="N16" s="40">
        <f t="shared" si="27"/>
        <v>81030</v>
      </c>
      <c r="O16" s="94">
        <v>23.965</v>
      </c>
      <c r="P16" s="35"/>
      <c r="Q16" s="35">
        <v>24.355</v>
      </c>
      <c r="R16" s="35"/>
      <c r="S16" s="20">
        <v>10.02</v>
      </c>
      <c r="T16" s="20"/>
      <c r="U16" s="95">
        <f t="shared" si="28"/>
        <v>10150.299999999999</v>
      </c>
      <c r="V16" s="41">
        <f>VLOOKUP($B16,'Taryfa PSG'!$B$4:$D$10,2,0)</f>
        <v>3.6890000000000001</v>
      </c>
      <c r="W16" s="25">
        <f t="shared" si="14"/>
        <v>2989.2</v>
      </c>
      <c r="X16" s="24">
        <f>VLOOKUP($B16,'Taryfa PSG'!$B$4:$D$10,3,0)</f>
        <v>45.19</v>
      </c>
      <c r="Y16" s="14">
        <f t="shared" si="15"/>
        <v>1988.36</v>
      </c>
      <c r="Z16" s="60">
        <f t="shared" si="1"/>
        <v>4977.5599999999995</v>
      </c>
      <c r="AA16" s="97">
        <f t="shared" si="2"/>
        <v>15127.859999999999</v>
      </c>
      <c r="AB16" s="32">
        <v>0.23</v>
      </c>
      <c r="AC16" s="33">
        <f t="shared" si="16"/>
        <v>3479.41</v>
      </c>
      <c r="AD16" s="34">
        <f t="shared" si="29"/>
        <v>18607.269999999997</v>
      </c>
    </row>
    <row r="17" spans="2:30" ht="30.75" customHeight="1" x14ac:dyDescent="0.2">
      <c r="B17" s="37" t="s">
        <v>49</v>
      </c>
      <c r="C17" s="13">
        <v>1</v>
      </c>
      <c r="D17" s="13">
        <v>0</v>
      </c>
      <c r="E17" s="43">
        <v>0.25</v>
      </c>
      <c r="F17" s="29">
        <f t="shared" si="11"/>
        <v>0.75</v>
      </c>
      <c r="G17" s="28" t="s">
        <v>4</v>
      </c>
      <c r="H17" s="13">
        <v>11</v>
      </c>
      <c r="I17" s="13" t="s">
        <v>40</v>
      </c>
      <c r="J17" s="23">
        <v>9513</v>
      </c>
      <c r="K17" s="23">
        <v>28537</v>
      </c>
      <c r="L17" s="23">
        <v>0</v>
      </c>
      <c r="M17" s="23">
        <v>0</v>
      </c>
      <c r="N17" s="40">
        <f t="shared" si="27"/>
        <v>38050</v>
      </c>
      <c r="O17" s="94">
        <v>23.965</v>
      </c>
      <c r="P17" s="35"/>
      <c r="Q17" s="35">
        <v>24.355</v>
      </c>
      <c r="R17" s="35"/>
      <c r="S17" s="20">
        <v>10.02</v>
      </c>
      <c r="T17" s="20"/>
      <c r="U17" s="95">
        <f t="shared" si="28"/>
        <v>2390.0100000000002</v>
      </c>
      <c r="V17" s="41">
        <f>VLOOKUP($B17,'Taryfa PSG'!$B$4:$D$10,2,0)</f>
        <v>3.6890000000000001</v>
      </c>
      <c r="W17" s="25">
        <f t="shared" ref="W17:W18" si="30">+ROUND(N17*V17/100,2)</f>
        <v>1403.66</v>
      </c>
      <c r="X17" s="24">
        <f>VLOOKUP($B17,'Taryfa PSG'!$B$4:$D$10,3,0)</f>
        <v>45.19</v>
      </c>
      <c r="Y17" s="14">
        <f t="shared" ref="Y17:Y18" si="31">+ROUND((C17+D17)*H17*X17,2)</f>
        <v>497.09</v>
      </c>
      <c r="Z17" s="60">
        <f t="shared" si="1"/>
        <v>1900.75</v>
      </c>
      <c r="AA17" s="97">
        <f t="shared" si="2"/>
        <v>4290.76</v>
      </c>
      <c r="AB17" s="32">
        <v>0.23</v>
      </c>
      <c r="AC17" s="33">
        <f t="shared" si="16"/>
        <v>986.87</v>
      </c>
      <c r="AD17" s="34">
        <f t="shared" si="29"/>
        <v>5277.63</v>
      </c>
    </row>
    <row r="18" spans="2:30" ht="30.75" customHeight="1" x14ac:dyDescent="0.2">
      <c r="B18" s="37" t="s">
        <v>49</v>
      </c>
      <c r="C18" s="13">
        <v>0</v>
      </c>
      <c r="D18" s="13">
        <v>13</v>
      </c>
      <c r="E18" s="43">
        <v>0</v>
      </c>
      <c r="F18" s="29">
        <f t="shared" si="11"/>
        <v>1</v>
      </c>
      <c r="G18" s="28" t="s">
        <v>4</v>
      </c>
      <c r="H18" s="13">
        <v>11</v>
      </c>
      <c r="I18" s="13" t="s">
        <v>40</v>
      </c>
      <c r="J18" s="23">
        <v>0</v>
      </c>
      <c r="K18" s="23">
        <v>216930</v>
      </c>
      <c r="L18" s="23">
        <v>0</v>
      </c>
      <c r="M18" s="23">
        <v>131000</v>
      </c>
      <c r="N18" s="40">
        <f t="shared" si="27"/>
        <v>347930</v>
      </c>
      <c r="O18" s="94">
        <v>23.965</v>
      </c>
      <c r="P18" s="35"/>
      <c r="Q18" s="35">
        <v>24.355</v>
      </c>
      <c r="R18" s="35"/>
      <c r="S18" s="20">
        <v>10.02</v>
      </c>
      <c r="T18" s="20"/>
      <c r="U18" s="95">
        <f t="shared" si="28"/>
        <v>0</v>
      </c>
      <c r="V18" s="41">
        <f>VLOOKUP($B18,'Taryfa PSG'!$B$4:$D$10,2,0)</f>
        <v>3.6890000000000001</v>
      </c>
      <c r="W18" s="25">
        <f t="shared" si="30"/>
        <v>12835.14</v>
      </c>
      <c r="X18" s="24">
        <f>VLOOKUP($B18,'Taryfa PSG'!$B$4:$D$10,3,0)</f>
        <v>45.19</v>
      </c>
      <c r="Y18" s="14">
        <f t="shared" si="31"/>
        <v>6462.17</v>
      </c>
      <c r="Z18" s="60">
        <f t="shared" si="1"/>
        <v>19297.309999999998</v>
      </c>
      <c r="AA18" s="97">
        <f t="shared" si="2"/>
        <v>19297.309999999998</v>
      </c>
      <c r="AB18" s="32">
        <v>0.23</v>
      </c>
      <c r="AC18" s="33">
        <f t="shared" si="16"/>
        <v>4438.38</v>
      </c>
      <c r="AD18" s="34">
        <f t="shared" si="29"/>
        <v>23735.69</v>
      </c>
    </row>
    <row r="19" spans="2:30" ht="30.75" customHeight="1" x14ac:dyDescent="0.2">
      <c r="B19" s="36" t="s">
        <v>19</v>
      </c>
      <c r="C19" s="13">
        <v>26</v>
      </c>
      <c r="D19" s="13">
        <v>0</v>
      </c>
      <c r="E19" s="39">
        <v>1</v>
      </c>
      <c r="F19" s="29">
        <f t="shared" ref="F19:F22" si="32">100%-E19</f>
        <v>0</v>
      </c>
      <c r="G19" s="28" t="s">
        <v>4</v>
      </c>
      <c r="H19" s="13">
        <v>11</v>
      </c>
      <c r="I19" s="13" t="s">
        <v>40</v>
      </c>
      <c r="J19" s="23">
        <v>2347570</v>
      </c>
      <c r="K19" s="23">
        <v>0</v>
      </c>
      <c r="L19" s="23">
        <v>271430</v>
      </c>
      <c r="M19" s="23">
        <v>0</v>
      </c>
      <c r="N19" s="40">
        <f t="shared" ref="N19:N22" si="33">+J19+K19+L19+M19</f>
        <v>2619000</v>
      </c>
      <c r="O19" s="94">
        <v>23.965</v>
      </c>
      <c r="P19" s="35"/>
      <c r="Q19" s="35">
        <v>24.355</v>
      </c>
      <c r="R19" s="35"/>
      <c r="S19" s="20">
        <v>16.11</v>
      </c>
      <c r="T19" s="20"/>
      <c r="U19" s="95">
        <f t="shared" ref="U19:U22" si="34">+ROUND((J19*O19/100+K19*P19/100+L19*Q19/100+M19*R19/100+C19*H19*S19+D19*H19*T19),2)</f>
        <v>633309.39</v>
      </c>
      <c r="V19" s="41">
        <f>VLOOKUP($B19,'Taryfa PSG'!$B$4:$D$10,2,0)</f>
        <v>3.6150000000000002</v>
      </c>
      <c r="W19" s="25">
        <f t="shared" ref="W19:W22" si="35">+ROUND(N19*V19/100,2)</f>
        <v>94676.85</v>
      </c>
      <c r="X19" s="24">
        <f>VLOOKUP($B19,'Taryfa PSG'!$B$4:$D$10,3,0)</f>
        <v>252.42</v>
      </c>
      <c r="Y19" s="14">
        <f t="shared" ref="Y19:Y22" si="36">+ROUND((C19+D19)*H19*X19,2)</f>
        <v>72192.12</v>
      </c>
      <c r="Z19" s="60">
        <f t="shared" ref="Z19:Z22" si="37">+W19+Y19</f>
        <v>166868.97</v>
      </c>
      <c r="AA19" s="97">
        <f t="shared" ref="AA19:AA22" si="38">+U19+Z19</f>
        <v>800178.36</v>
      </c>
      <c r="AB19" s="32">
        <v>0.23</v>
      </c>
      <c r="AC19" s="33">
        <f t="shared" ref="AC19:AC22" si="39">+ROUND(AA19*AB19,2)</f>
        <v>184041.02</v>
      </c>
      <c r="AD19" s="34">
        <f t="shared" ref="AD19:AD22" si="40">+AC19+AA19</f>
        <v>984219.38</v>
      </c>
    </row>
    <row r="20" spans="2:30" ht="30.75" customHeight="1" x14ac:dyDescent="0.2">
      <c r="B20" s="36" t="s">
        <v>19</v>
      </c>
      <c r="C20" s="13">
        <v>1</v>
      </c>
      <c r="D20" s="13">
        <v>0</v>
      </c>
      <c r="E20" s="39">
        <v>0.86850000000000005</v>
      </c>
      <c r="F20" s="29">
        <f t="shared" si="32"/>
        <v>0.13149999999999995</v>
      </c>
      <c r="G20" s="28" t="s">
        <v>4</v>
      </c>
      <c r="H20" s="13">
        <v>11</v>
      </c>
      <c r="I20" s="13" t="s">
        <v>40</v>
      </c>
      <c r="J20" s="23">
        <v>62506</v>
      </c>
      <c r="K20" s="23">
        <v>9464</v>
      </c>
      <c r="L20" s="23">
        <v>0</v>
      </c>
      <c r="M20" s="23">
        <v>0</v>
      </c>
      <c r="N20" s="40">
        <f t="shared" si="33"/>
        <v>71970</v>
      </c>
      <c r="O20" s="94">
        <v>23.965</v>
      </c>
      <c r="P20" s="35"/>
      <c r="Q20" s="35">
        <v>24.355</v>
      </c>
      <c r="R20" s="35"/>
      <c r="S20" s="20">
        <v>16.11</v>
      </c>
      <c r="T20" s="20"/>
      <c r="U20" s="95">
        <f t="shared" si="34"/>
        <v>15156.77</v>
      </c>
      <c r="V20" s="41">
        <f>VLOOKUP($B20,'Taryfa PSG'!$B$4:$D$10,2,0)</f>
        <v>3.6150000000000002</v>
      </c>
      <c r="W20" s="25">
        <f t="shared" si="35"/>
        <v>2601.7199999999998</v>
      </c>
      <c r="X20" s="24">
        <f>VLOOKUP($B20,'Taryfa PSG'!$B$4:$D$10,3,0)</f>
        <v>252.42</v>
      </c>
      <c r="Y20" s="14">
        <f t="shared" si="36"/>
        <v>2776.62</v>
      </c>
      <c r="Z20" s="60">
        <f t="shared" si="37"/>
        <v>5378.34</v>
      </c>
      <c r="AA20" s="97">
        <f t="shared" si="38"/>
        <v>20535.11</v>
      </c>
      <c r="AB20" s="32">
        <v>0.23</v>
      </c>
      <c r="AC20" s="33">
        <f t="shared" si="39"/>
        <v>4723.08</v>
      </c>
      <c r="AD20" s="34">
        <f t="shared" si="40"/>
        <v>25258.190000000002</v>
      </c>
    </row>
    <row r="21" spans="2:30" ht="30.75" customHeight="1" x14ac:dyDescent="0.2">
      <c r="B21" s="36" t="s">
        <v>19</v>
      </c>
      <c r="C21" s="13">
        <v>1</v>
      </c>
      <c r="D21" s="13">
        <v>0</v>
      </c>
      <c r="E21" s="39">
        <v>0.8</v>
      </c>
      <c r="F21" s="29">
        <f t="shared" si="32"/>
        <v>0.19999999999999996</v>
      </c>
      <c r="G21" s="28" t="s">
        <v>4</v>
      </c>
      <c r="H21" s="13">
        <v>11</v>
      </c>
      <c r="I21" s="13" t="s">
        <v>40</v>
      </c>
      <c r="J21" s="23">
        <v>70400</v>
      </c>
      <c r="K21" s="23">
        <v>17600</v>
      </c>
      <c r="L21" s="23">
        <v>0</v>
      </c>
      <c r="M21" s="23">
        <v>0</v>
      </c>
      <c r="N21" s="40">
        <f t="shared" si="33"/>
        <v>88000</v>
      </c>
      <c r="O21" s="94">
        <v>23.965</v>
      </c>
      <c r="P21" s="35"/>
      <c r="Q21" s="35">
        <v>24.355</v>
      </c>
      <c r="R21" s="35"/>
      <c r="S21" s="20">
        <v>16.11</v>
      </c>
      <c r="T21" s="20"/>
      <c r="U21" s="95">
        <f t="shared" si="34"/>
        <v>17048.57</v>
      </c>
      <c r="V21" s="41">
        <f>VLOOKUP($B21,'Taryfa PSG'!$B$4:$D$10,2,0)</f>
        <v>3.6150000000000002</v>
      </c>
      <c r="W21" s="25">
        <f t="shared" si="35"/>
        <v>3181.2</v>
      </c>
      <c r="X21" s="24">
        <f>VLOOKUP($B21,'Taryfa PSG'!$B$4:$D$10,3,0)</f>
        <v>252.42</v>
      </c>
      <c r="Y21" s="14">
        <f t="shared" si="36"/>
        <v>2776.62</v>
      </c>
      <c r="Z21" s="60">
        <f t="shared" si="37"/>
        <v>5957.82</v>
      </c>
      <c r="AA21" s="97">
        <f t="shared" si="38"/>
        <v>23006.39</v>
      </c>
      <c r="AB21" s="32">
        <v>0.23</v>
      </c>
      <c r="AC21" s="33">
        <f t="shared" si="39"/>
        <v>5291.47</v>
      </c>
      <c r="AD21" s="34">
        <f t="shared" si="40"/>
        <v>28297.86</v>
      </c>
    </row>
    <row r="22" spans="2:30" ht="30.75" customHeight="1" x14ac:dyDescent="0.2">
      <c r="B22" s="36" t="s">
        <v>19</v>
      </c>
      <c r="C22" s="13">
        <v>1</v>
      </c>
      <c r="D22" s="13">
        <v>0</v>
      </c>
      <c r="E22" s="39">
        <v>0.75480000000000003</v>
      </c>
      <c r="F22" s="29">
        <f t="shared" si="32"/>
        <v>0.24519999999999997</v>
      </c>
      <c r="G22" s="28" t="s">
        <v>4</v>
      </c>
      <c r="H22" s="13">
        <v>11</v>
      </c>
      <c r="I22" s="13" t="s">
        <v>40</v>
      </c>
      <c r="J22" s="23">
        <v>0</v>
      </c>
      <c r="K22" s="23">
        <v>0</v>
      </c>
      <c r="L22" s="23">
        <v>57908</v>
      </c>
      <c r="M22" s="23">
        <v>18812</v>
      </c>
      <c r="N22" s="40">
        <f t="shared" si="33"/>
        <v>76720</v>
      </c>
      <c r="O22" s="94">
        <v>23.965</v>
      </c>
      <c r="P22" s="35"/>
      <c r="Q22" s="35">
        <v>24.355</v>
      </c>
      <c r="R22" s="35"/>
      <c r="S22" s="20">
        <v>16.11</v>
      </c>
      <c r="T22" s="20"/>
      <c r="U22" s="95">
        <f t="shared" si="34"/>
        <v>14280.7</v>
      </c>
      <c r="V22" s="41">
        <f>VLOOKUP($B22,'Taryfa PSG'!$B$4:$D$10,2,0)</f>
        <v>3.6150000000000002</v>
      </c>
      <c r="W22" s="25">
        <f t="shared" si="35"/>
        <v>2773.43</v>
      </c>
      <c r="X22" s="24">
        <f>VLOOKUP($B22,'Taryfa PSG'!$B$4:$D$10,3,0)</f>
        <v>252.42</v>
      </c>
      <c r="Y22" s="14">
        <f t="shared" si="36"/>
        <v>2776.62</v>
      </c>
      <c r="Z22" s="60">
        <f t="shared" si="37"/>
        <v>5550.0499999999993</v>
      </c>
      <c r="AA22" s="97">
        <f t="shared" si="38"/>
        <v>19830.75</v>
      </c>
      <c r="AB22" s="32">
        <v>0.23</v>
      </c>
      <c r="AC22" s="33">
        <f t="shared" si="39"/>
        <v>4561.07</v>
      </c>
      <c r="AD22" s="34">
        <f t="shared" si="40"/>
        <v>24391.82</v>
      </c>
    </row>
    <row r="23" spans="2:30" ht="30.75" customHeight="1" x14ac:dyDescent="0.2">
      <c r="B23" s="36" t="s">
        <v>19</v>
      </c>
      <c r="C23" s="13">
        <v>1</v>
      </c>
      <c r="D23" s="13">
        <v>0</v>
      </c>
      <c r="E23" s="39">
        <v>0.67330000000000001</v>
      </c>
      <c r="F23" s="29">
        <f t="shared" si="11"/>
        <v>0.32669999999999999</v>
      </c>
      <c r="G23" s="28" t="s">
        <v>4</v>
      </c>
      <c r="H23" s="13">
        <v>11</v>
      </c>
      <c r="I23" s="13" t="s">
        <v>40</v>
      </c>
      <c r="J23" s="23">
        <v>48639</v>
      </c>
      <c r="K23" s="23">
        <v>23601</v>
      </c>
      <c r="L23" s="23">
        <v>0</v>
      </c>
      <c r="M23" s="23">
        <v>0</v>
      </c>
      <c r="N23" s="40">
        <f t="shared" ref="N23:N33" si="41">+J23+K23+L23+M23</f>
        <v>72240</v>
      </c>
      <c r="O23" s="94">
        <v>23.965</v>
      </c>
      <c r="P23" s="35"/>
      <c r="Q23" s="35">
        <v>24.355</v>
      </c>
      <c r="R23" s="35"/>
      <c r="S23" s="20">
        <v>16.11</v>
      </c>
      <c r="T23" s="20"/>
      <c r="U23" s="95">
        <f t="shared" ref="U23:U33" si="42">+ROUND((J23*O23/100+K23*P23/100+L23*Q23/100+M23*R23/100+C23*H23*S23+D23*H23*T23),2)</f>
        <v>11833.55</v>
      </c>
      <c r="V23" s="41">
        <f>VLOOKUP($B23,'Taryfa PSG'!$B$4:$D$10,2,0)</f>
        <v>3.6150000000000002</v>
      </c>
      <c r="W23" s="25">
        <f t="shared" si="14"/>
        <v>2611.48</v>
      </c>
      <c r="X23" s="24">
        <f>VLOOKUP($B23,'Taryfa PSG'!$B$4:$D$10,3,0)</f>
        <v>252.42</v>
      </c>
      <c r="Y23" s="14">
        <f t="shared" si="15"/>
        <v>2776.62</v>
      </c>
      <c r="Z23" s="60">
        <f t="shared" si="1"/>
        <v>5388.1</v>
      </c>
      <c r="AA23" s="97">
        <f t="shared" si="2"/>
        <v>17221.650000000001</v>
      </c>
      <c r="AB23" s="32">
        <v>0.23</v>
      </c>
      <c r="AC23" s="33">
        <f t="shared" si="16"/>
        <v>3960.98</v>
      </c>
      <c r="AD23" s="34">
        <f t="shared" ref="AD23:AD33" si="43">+AC23+AA23</f>
        <v>21182.63</v>
      </c>
    </row>
    <row r="24" spans="2:30" ht="30.75" customHeight="1" x14ac:dyDescent="0.2">
      <c r="B24" s="36" t="s">
        <v>19</v>
      </c>
      <c r="C24" s="13">
        <v>1</v>
      </c>
      <c r="D24" s="13">
        <v>0</v>
      </c>
      <c r="E24" s="39">
        <v>0.6</v>
      </c>
      <c r="F24" s="29">
        <f t="shared" ref="F24:F27" si="44">100%-E24</f>
        <v>0.4</v>
      </c>
      <c r="G24" s="28" t="s">
        <v>4</v>
      </c>
      <c r="H24" s="13">
        <v>11</v>
      </c>
      <c r="I24" s="13" t="s">
        <v>40</v>
      </c>
      <c r="J24" s="23">
        <v>64866</v>
      </c>
      <c r="K24" s="23">
        <v>43244</v>
      </c>
      <c r="L24" s="23">
        <v>0</v>
      </c>
      <c r="M24" s="23">
        <v>0</v>
      </c>
      <c r="N24" s="40">
        <f t="shared" si="41"/>
        <v>108110</v>
      </c>
      <c r="O24" s="94">
        <v>23.965</v>
      </c>
      <c r="P24" s="35"/>
      <c r="Q24" s="35">
        <v>24.355</v>
      </c>
      <c r="R24" s="35"/>
      <c r="S24" s="20">
        <v>16.11</v>
      </c>
      <c r="T24" s="20"/>
      <c r="U24" s="95">
        <f t="shared" si="42"/>
        <v>15722.35</v>
      </c>
      <c r="V24" s="41">
        <f>VLOOKUP($B24,'Taryfa PSG'!$B$4:$D$10,2,0)</f>
        <v>3.6150000000000002</v>
      </c>
      <c r="W24" s="25">
        <f t="shared" ref="W24:W27" si="45">+ROUND(N24*V24/100,2)</f>
        <v>3908.18</v>
      </c>
      <c r="X24" s="24">
        <f>VLOOKUP($B24,'Taryfa PSG'!$B$4:$D$10,3,0)</f>
        <v>252.42</v>
      </c>
      <c r="Y24" s="14">
        <f t="shared" ref="Y24:Y27" si="46">+ROUND((C24+D24)*H24*X24,2)</f>
        <v>2776.62</v>
      </c>
      <c r="Z24" s="60">
        <f t="shared" ref="Z24:Z27" si="47">+W24+Y24</f>
        <v>6684.7999999999993</v>
      </c>
      <c r="AA24" s="97">
        <f t="shared" ref="AA24:AA27" si="48">+U24+Z24</f>
        <v>22407.15</v>
      </c>
      <c r="AB24" s="32">
        <v>0.23</v>
      </c>
      <c r="AC24" s="33">
        <f t="shared" ref="AC24:AC27" si="49">+ROUND(AA24*AB24,2)</f>
        <v>5153.6400000000003</v>
      </c>
      <c r="AD24" s="34">
        <f t="shared" si="43"/>
        <v>27560.79</v>
      </c>
    </row>
    <row r="25" spans="2:30" ht="30.75" customHeight="1" x14ac:dyDescent="0.2">
      <c r="B25" s="36" t="s">
        <v>19</v>
      </c>
      <c r="C25" s="13">
        <v>1</v>
      </c>
      <c r="D25" s="13">
        <v>0</v>
      </c>
      <c r="E25" s="39">
        <v>0.33400000000000002</v>
      </c>
      <c r="F25" s="29">
        <f t="shared" si="44"/>
        <v>0.66599999999999993</v>
      </c>
      <c r="G25" s="28" t="s">
        <v>4</v>
      </c>
      <c r="H25" s="13">
        <v>11</v>
      </c>
      <c r="I25" s="13" t="s">
        <v>40</v>
      </c>
      <c r="J25" s="23">
        <v>31803</v>
      </c>
      <c r="K25" s="23">
        <v>63417</v>
      </c>
      <c r="L25" s="23">
        <v>0</v>
      </c>
      <c r="M25" s="23">
        <v>0</v>
      </c>
      <c r="N25" s="40">
        <f t="shared" si="41"/>
        <v>95220</v>
      </c>
      <c r="O25" s="94">
        <v>23.965</v>
      </c>
      <c r="P25" s="35"/>
      <c r="Q25" s="35">
        <v>24.355</v>
      </c>
      <c r="R25" s="35"/>
      <c r="S25" s="20">
        <v>16.11</v>
      </c>
      <c r="T25" s="20"/>
      <c r="U25" s="95">
        <f t="shared" si="42"/>
        <v>7798.8</v>
      </c>
      <c r="V25" s="41">
        <f>VLOOKUP($B25,'Taryfa PSG'!$B$4:$D$10,2,0)</f>
        <v>3.6150000000000002</v>
      </c>
      <c r="W25" s="25">
        <f t="shared" si="45"/>
        <v>3442.2</v>
      </c>
      <c r="X25" s="24">
        <f>VLOOKUP($B25,'Taryfa PSG'!$B$4:$D$10,3,0)</f>
        <v>252.42</v>
      </c>
      <c r="Y25" s="14">
        <f t="shared" si="46"/>
        <v>2776.62</v>
      </c>
      <c r="Z25" s="60">
        <f t="shared" si="47"/>
        <v>6218.82</v>
      </c>
      <c r="AA25" s="97">
        <f t="shared" si="48"/>
        <v>14017.619999999999</v>
      </c>
      <c r="AB25" s="32">
        <v>0.23</v>
      </c>
      <c r="AC25" s="33">
        <f t="shared" si="49"/>
        <v>3224.05</v>
      </c>
      <c r="AD25" s="34">
        <f t="shared" si="43"/>
        <v>17241.669999999998</v>
      </c>
    </row>
    <row r="26" spans="2:30" ht="30.75" customHeight="1" x14ac:dyDescent="0.2">
      <c r="B26" s="36" t="s">
        <v>19</v>
      </c>
      <c r="C26" s="13">
        <v>1</v>
      </c>
      <c r="D26" s="13">
        <v>0</v>
      </c>
      <c r="E26" s="39">
        <v>0.3</v>
      </c>
      <c r="F26" s="29">
        <f t="shared" si="44"/>
        <v>0.7</v>
      </c>
      <c r="G26" s="28" t="s">
        <v>4</v>
      </c>
      <c r="H26" s="13">
        <v>11</v>
      </c>
      <c r="I26" s="13" t="s">
        <v>40</v>
      </c>
      <c r="J26" s="23">
        <v>40185</v>
      </c>
      <c r="K26" s="23">
        <v>93765</v>
      </c>
      <c r="L26" s="23">
        <v>0</v>
      </c>
      <c r="M26" s="23">
        <v>0</v>
      </c>
      <c r="N26" s="40">
        <f t="shared" si="41"/>
        <v>133950</v>
      </c>
      <c r="O26" s="94">
        <v>23.965</v>
      </c>
      <c r="P26" s="35"/>
      <c r="Q26" s="35">
        <v>24.355</v>
      </c>
      <c r="R26" s="35"/>
      <c r="S26" s="20">
        <v>16.11</v>
      </c>
      <c r="T26" s="20"/>
      <c r="U26" s="95">
        <f t="shared" si="42"/>
        <v>9807.5499999999993</v>
      </c>
      <c r="V26" s="41">
        <f>VLOOKUP($B26,'Taryfa PSG'!$B$4:$D$10,2,0)</f>
        <v>3.6150000000000002</v>
      </c>
      <c r="W26" s="25">
        <f t="shared" si="45"/>
        <v>4842.29</v>
      </c>
      <c r="X26" s="24">
        <f>VLOOKUP($B26,'Taryfa PSG'!$B$4:$D$10,3,0)</f>
        <v>252.42</v>
      </c>
      <c r="Y26" s="14">
        <f t="shared" si="46"/>
        <v>2776.62</v>
      </c>
      <c r="Z26" s="60">
        <f t="shared" si="47"/>
        <v>7618.91</v>
      </c>
      <c r="AA26" s="97">
        <f t="shared" si="48"/>
        <v>17426.46</v>
      </c>
      <c r="AB26" s="32">
        <v>0.23</v>
      </c>
      <c r="AC26" s="33">
        <f t="shared" si="49"/>
        <v>4008.09</v>
      </c>
      <c r="AD26" s="34">
        <f t="shared" si="43"/>
        <v>21434.55</v>
      </c>
    </row>
    <row r="27" spans="2:30" ht="30.75" customHeight="1" x14ac:dyDescent="0.2">
      <c r="B27" s="36" t="s">
        <v>19</v>
      </c>
      <c r="C27" s="13">
        <v>0</v>
      </c>
      <c r="D27" s="13">
        <v>1</v>
      </c>
      <c r="E27" s="39">
        <v>0</v>
      </c>
      <c r="F27" s="29">
        <f t="shared" si="44"/>
        <v>1</v>
      </c>
      <c r="G27" s="28" t="s">
        <v>4</v>
      </c>
      <c r="H27" s="13">
        <v>11</v>
      </c>
      <c r="I27" s="13" t="s">
        <v>40</v>
      </c>
      <c r="J27" s="23">
        <v>0</v>
      </c>
      <c r="K27" s="23">
        <v>75914</v>
      </c>
      <c r="L27" s="23">
        <v>0</v>
      </c>
      <c r="M27" s="23">
        <v>22676</v>
      </c>
      <c r="N27" s="40">
        <f t="shared" si="41"/>
        <v>98590</v>
      </c>
      <c r="O27" s="94">
        <v>23.965</v>
      </c>
      <c r="P27" s="35"/>
      <c r="Q27" s="35">
        <v>24.355</v>
      </c>
      <c r="R27" s="35"/>
      <c r="S27" s="20">
        <v>16.11</v>
      </c>
      <c r="T27" s="20"/>
      <c r="U27" s="95">
        <f t="shared" si="42"/>
        <v>0</v>
      </c>
      <c r="V27" s="41">
        <f>VLOOKUP($B27,'Taryfa PSG'!$B$4:$D$10,2,0)</f>
        <v>3.6150000000000002</v>
      </c>
      <c r="W27" s="25">
        <f t="shared" si="45"/>
        <v>3564.03</v>
      </c>
      <c r="X27" s="24">
        <f>VLOOKUP($B27,'Taryfa PSG'!$B$4:$D$10,3,0)</f>
        <v>252.42</v>
      </c>
      <c r="Y27" s="14">
        <f t="shared" si="46"/>
        <v>2776.62</v>
      </c>
      <c r="Z27" s="60">
        <f t="shared" si="47"/>
        <v>6340.65</v>
      </c>
      <c r="AA27" s="97">
        <f t="shared" si="48"/>
        <v>6340.65</v>
      </c>
      <c r="AB27" s="32">
        <v>0.23</v>
      </c>
      <c r="AC27" s="33">
        <f t="shared" si="49"/>
        <v>1458.35</v>
      </c>
      <c r="AD27" s="34">
        <f t="shared" si="43"/>
        <v>7799</v>
      </c>
    </row>
    <row r="28" spans="2:30" ht="30.75" customHeight="1" x14ac:dyDescent="0.2">
      <c r="B28" s="47" t="s">
        <v>18</v>
      </c>
      <c r="C28" s="13">
        <v>30</v>
      </c>
      <c r="D28" s="13">
        <v>0</v>
      </c>
      <c r="E28" s="39">
        <v>1</v>
      </c>
      <c r="F28" s="29">
        <f t="shared" si="11"/>
        <v>0</v>
      </c>
      <c r="G28" s="13">
        <v>5811</v>
      </c>
      <c r="H28" s="13">
        <v>11</v>
      </c>
      <c r="I28" s="126">
        <v>8016</v>
      </c>
      <c r="J28" s="23">
        <v>7113530</v>
      </c>
      <c r="K28" s="23">
        <v>0</v>
      </c>
      <c r="L28" s="23">
        <v>0</v>
      </c>
      <c r="M28" s="23">
        <v>0</v>
      </c>
      <c r="N28" s="40">
        <f t="shared" si="41"/>
        <v>7113530</v>
      </c>
      <c r="O28" s="94">
        <v>23.917999999999999</v>
      </c>
      <c r="P28" s="35"/>
      <c r="Q28" s="35">
        <v>24.308</v>
      </c>
      <c r="R28" s="35"/>
      <c r="S28" s="20">
        <v>123</v>
      </c>
      <c r="T28" s="20"/>
      <c r="U28" s="95">
        <f t="shared" si="42"/>
        <v>1742004.11</v>
      </c>
      <c r="V28" s="41">
        <f>VLOOKUP($B28,'Taryfa PSG'!$B$4:$D$10,2,0)</f>
        <v>3.278</v>
      </c>
      <c r="W28" s="25">
        <f t="shared" si="14"/>
        <v>233181.51</v>
      </c>
      <c r="X28" s="24">
        <f>VLOOKUP($B28,'Taryfa PSG'!$B$4:$D$10,3,0)</f>
        <v>0.65400000000000003</v>
      </c>
      <c r="Y28" s="14">
        <f>+ROUND(G28*I28*X28/100,2)</f>
        <v>304639.58</v>
      </c>
      <c r="Z28" s="60">
        <f t="shared" si="1"/>
        <v>537821.09000000008</v>
      </c>
      <c r="AA28" s="97">
        <f t="shared" si="2"/>
        <v>2279825.2000000002</v>
      </c>
      <c r="AB28" s="32">
        <v>0.23</v>
      </c>
      <c r="AC28" s="33">
        <f t="shared" si="16"/>
        <v>524359.80000000005</v>
      </c>
      <c r="AD28" s="34">
        <f t="shared" si="43"/>
        <v>2804185</v>
      </c>
    </row>
    <row r="29" spans="2:30" ht="30.75" customHeight="1" x14ac:dyDescent="0.2">
      <c r="B29" s="47" t="s">
        <v>18</v>
      </c>
      <c r="C29" s="13">
        <v>1</v>
      </c>
      <c r="D29" s="13">
        <v>0</v>
      </c>
      <c r="E29" s="39">
        <v>0.94899999999999995</v>
      </c>
      <c r="F29" s="29">
        <f t="shared" ref="F29:F33" si="50">100%-E29</f>
        <v>5.1000000000000045E-2</v>
      </c>
      <c r="G29" s="13">
        <v>219</v>
      </c>
      <c r="H29" s="13">
        <v>11</v>
      </c>
      <c r="I29" s="126">
        <v>8016</v>
      </c>
      <c r="J29" s="23">
        <v>294419</v>
      </c>
      <c r="K29" s="23">
        <v>15822</v>
      </c>
      <c r="L29" s="23">
        <v>15496</v>
      </c>
      <c r="M29" s="23">
        <v>833</v>
      </c>
      <c r="N29" s="40">
        <f t="shared" si="41"/>
        <v>326570</v>
      </c>
      <c r="O29" s="94">
        <v>23.917999999999999</v>
      </c>
      <c r="P29" s="35"/>
      <c r="Q29" s="35">
        <v>24.308</v>
      </c>
      <c r="R29" s="35"/>
      <c r="S29" s="20">
        <v>123</v>
      </c>
      <c r="T29" s="20"/>
      <c r="U29" s="95">
        <f t="shared" si="42"/>
        <v>75538.899999999994</v>
      </c>
      <c r="V29" s="41">
        <f>VLOOKUP($B29,'Taryfa PSG'!$B$4:$D$10,2,0)</f>
        <v>3.278</v>
      </c>
      <c r="W29" s="25">
        <f t="shared" ref="W29:W33" si="51">+ROUND(N29*V29/100,2)</f>
        <v>10704.96</v>
      </c>
      <c r="X29" s="24">
        <f>VLOOKUP($B29,'Taryfa PSG'!$B$4:$D$10,3,0)</f>
        <v>0.65400000000000003</v>
      </c>
      <c r="Y29" s="14">
        <f t="shared" ref="Y29:Y33" si="52">+ROUND(G29*I29*X29/100,2)</f>
        <v>11481</v>
      </c>
      <c r="Z29" s="60">
        <f t="shared" ref="Z29:Z33" si="53">+W29+Y29</f>
        <v>22185.96</v>
      </c>
      <c r="AA29" s="97">
        <f t="shared" ref="AA29:AA33" si="54">+U29+Z29</f>
        <v>97724.859999999986</v>
      </c>
      <c r="AB29" s="32">
        <v>0.23</v>
      </c>
      <c r="AC29" s="33">
        <f t="shared" ref="AC29:AC33" si="55">+ROUND(AA29*AB29,2)</f>
        <v>22476.720000000001</v>
      </c>
      <c r="AD29" s="34">
        <f t="shared" si="43"/>
        <v>120201.57999999999</v>
      </c>
    </row>
    <row r="30" spans="2:30" ht="30.75" customHeight="1" x14ac:dyDescent="0.2">
      <c r="B30" s="47" t="s">
        <v>18</v>
      </c>
      <c r="C30" s="13">
        <v>1</v>
      </c>
      <c r="D30" s="13">
        <v>0</v>
      </c>
      <c r="E30" s="39">
        <v>0.92</v>
      </c>
      <c r="F30" s="29">
        <f t="shared" si="50"/>
        <v>7.999999999999996E-2</v>
      </c>
      <c r="G30" s="13">
        <v>176</v>
      </c>
      <c r="H30" s="13">
        <v>11</v>
      </c>
      <c r="I30" s="126">
        <v>8016</v>
      </c>
      <c r="J30" s="23">
        <v>164772</v>
      </c>
      <c r="K30" s="23">
        <v>14328</v>
      </c>
      <c r="L30" s="23">
        <v>0</v>
      </c>
      <c r="M30" s="23">
        <v>0</v>
      </c>
      <c r="N30" s="40">
        <f t="shared" si="41"/>
        <v>179100</v>
      </c>
      <c r="O30" s="94">
        <v>23.917999999999999</v>
      </c>
      <c r="P30" s="35"/>
      <c r="Q30" s="35">
        <v>24.308</v>
      </c>
      <c r="R30" s="35"/>
      <c r="S30" s="20">
        <v>123</v>
      </c>
      <c r="T30" s="20"/>
      <c r="U30" s="95">
        <f t="shared" si="42"/>
        <v>40763.17</v>
      </c>
      <c r="V30" s="41">
        <f>VLOOKUP($B30,'Taryfa PSG'!$B$4:$D$10,2,0)</f>
        <v>3.278</v>
      </c>
      <c r="W30" s="25">
        <f t="shared" si="51"/>
        <v>5870.9</v>
      </c>
      <c r="X30" s="24">
        <f>VLOOKUP($B30,'Taryfa PSG'!$B$4:$D$10,3,0)</f>
        <v>0.65400000000000003</v>
      </c>
      <c r="Y30" s="14">
        <f t="shared" si="52"/>
        <v>9226.74</v>
      </c>
      <c r="Z30" s="60">
        <f t="shared" si="53"/>
        <v>15097.64</v>
      </c>
      <c r="AA30" s="97">
        <f t="shared" si="54"/>
        <v>55860.81</v>
      </c>
      <c r="AB30" s="32">
        <v>0.23</v>
      </c>
      <c r="AC30" s="33">
        <f t="shared" si="55"/>
        <v>12847.99</v>
      </c>
      <c r="AD30" s="34">
        <f t="shared" si="43"/>
        <v>68708.800000000003</v>
      </c>
    </row>
    <row r="31" spans="2:30" ht="30.75" customHeight="1" x14ac:dyDescent="0.2">
      <c r="B31" s="47" t="s">
        <v>18</v>
      </c>
      <c r="C31" s="13">
        <v>1</v>
      </c>
      <c r="D31" s="13">
        <v>0</v>
      </c>
      <c r="E31" s="39">
        <v>0.87660000000000005</v>
      </c>
      <c r="F31" s="29">
        <f t="shared" si="50"/>
        <v>0.12339999999999995</v>
      </c>
      <c r="G31" s="13">
        <v>219</v>
      </c>
      <c r="H31" s="13">
        <v>11</v>
      </c>
      <c r="I31" s="126">
        <v>8016</v>
      </c>
      <c r="J31" s="23">
        <v>208103</v>
      </c>
      <c r="K31" s="23">
        <v>29295</v>
      </c>
      <c r="L31" s="23">
        <v>45681</v>
      </c>
      <c r="M31" s="23">
        <v>6431</v>
      </c>
      <c r="N31" s="40">
        <f t="shared" si="41"/>
        <v>289510</v>
      </c>
      <c r="O31" s="94">
        <v>23.917999999999999</v>
      </c>
      <c r="P31" s="35"/>
      <c r="Q31" s="35">
        <v>24.308</v>
      </c>
      <c r="R31" s="35"/>
      <c r="S31" s="20">
        <v>123</v>
      </c>
      <c r="T31" s="20"/>
      <c r="U31" s="95">
        <f t="shared" si="42"/>
        <v>62231.21</v>
      </c>
      <c r="V31" s="41">
        <f>VLOOKUP($B31,'Taryfa PSG'!$B$4:$D$10,2,0)</f>
        <v>3.278</v>
      </c>
      <c r="W31" s="25">
        <f t="shared" si="51"/>
        <v>9490.14</v>
      </c>
      <c r="X31" s="24">
        <f>VLOOKUP($B31,'Taryfa PSG'!$B$4:$D$10,3,0)</f>
        <v>0.65400000000000003</v>
      </c>
      <c r="Y31" s="14">
        <f t="shared" si="52"/>
        <v>11481</v>
      </c>
      <c r="Z31" s="60">
        <f t="shared" si="53"/>
        <v>20971.14</v>
      </c>
      <c r="AA31" s="97">
        <f t="shared" si="54"/>
        <v>83202.350000000006</v>
      </c>
      <c r="AB31" s="32">
        <v>0.23</v>
      </c>
      <c r="AC31" s="33">
        <f t="shared" si="55"/>
        <v>19136.54</v>
      </c>
      <c r="AD31" s="34">
        <f t="shared" si="43"/>
        <v>102338.89000000001</v>
      </c>
    </row>
    <row r="32" spans="2:30" ht="30.75" customHeight="1" x14ac:dyDescent="0.2">
      <c r="B32" s="47" t="s">
        <v>18</v>
      </c>
      <c r="C32" s="13">
        <v>1</v>
      </c>
      <c r="D32" s="13">
        <v>0</v>
      </c>
      <c r="E32" s="39">
        <v>0.55000000000000004</v>
      </c>
      <c r="F32" s="29">
        <f t="shared" si="50"/>
        <v>0.44999999999999996</v>
      </c>
      <c r="G32" s="13">
        <v>176</v>
      </c>
      <c r="H32" s="13">
        <v>11</v>
      </c>
      <c r="I32" s="126">
        <v>8016</v>
      </c>
      <c r="J32" s="23">
        <v>80955</v>
      </c>
      <c r="K32" s="23">
        <v>66235</v>
      </c>
      <c r="L32" s="23">
        <v>0</v>
      </c>
      <c r="M32" s="23">
        <v>0</v>
      </c>
      <c r="N32" s="40">
        <f t="shared" si="41"/>
        <v>147190</v>
      </c>
      <c r="O32" s="94">
        <v>23.917999999999999</v>
      </c>
      <c r="P32" s="35"/>
      <c r="Q32" s="35">
        <v>24.308</v>
      </c>
      <c r="R32" s="35"/>
      <c r="S32" s="20">
        <v>123</v>
      </c>
      <c r="T32" s="20"/>
      <c r="U32" s="95">
        <f t="shared" si="42"/>
        <v>20715.82</v>
      </c>
      <c r="V32" s="41">
        <f>VLOOKUP($B32,'Taryfa PSG'!$B$4:$D$10,2,0)</f>
        <v>3.278</v>
      </c>
      <c r="W32" s="25">
        <f t="shared" si="51"/>
        <v>4824.8900000000003</v>
      </c>
      <c r="X32" s="24">
        <f>VLOOKUP($B32,'Taryfa PSG'!$B$4:$D$10,3,0)</f>
        <v>0.65400000000000003</v>
      </c>
      <c r="Y32" s="14">
        <f t="shared" si="52"/>
        <v>9226.74</v>
      </c>
      <c r="Z32" s="60">
        <f t="shared" si="53"/>
        <v>14051.630000000001</v>
      </c>
      <c r="AA32" s="97">
        <f t="shared" si="54"/>
        <v>34767.449999999997</v>
      </c>
      <c r="AB32" s="32">
        <v>0.23</v>
      </c>
      <c r="AC32" s="33">
        <f t="shared" si="55"/>
        <v>7996.51</v>
      </c>
      <c r="AD32" s="34">
        <f t="shared" si="43"/>
        <v>42763.96</v>
      </c>
    </row>
    <row r="33" spans="2:30" ht="30.75" customHeight="1" x14ac:dyDescent="0.2">
      <c r="B33" s="47" t="s">
        <v>18</v>
      </c>
      <c r="C33" s="13">
        <v>1</v>
      </c>
      <c r="D33" s="13">
        <v>0</v>
      </c>
      <c r="E33" s="39">
        <v>0.53339999999999999</v>
      </c>
      <c r="F33" s="29">
        <f t="shared" si="50"/>
        <v>0.46660000000000001</v>
      </c>
      <c r="G33" s="13">
        <v>165</v>
      </c>
      <c r="H33" s="13">
        <v>11</v>
      </c>
      <c r="I33" s="126">
        <v>8016</v>
      </c>
      <c r="J33" s="23">
        <v>113945</v>
      </c>
      <c r="K33" s="23">
        <v>99675</v>
      </c>
      <c r="L33" s="23">
        <v>0</v>
      </c>
      <c r="M33" s="23">
        <v>0</v>
      </c>
      <c r="N33" s="40">
        <f t="shared" si="41"/>
        <v>213620</v>
      </c>
      <c r="O33" s="94">
        <v>23.917999999999999</v>
      </c>
      <c r="P33" s="35"/>
      <c r="Q33" s="35">
        <v>24.308</v>
      </c>
      <c r="R33" s="35"/>
      <c r="S33" s="20">
        <v>123</v>
      </c>
      <c r="T33" s="20"/>
      <c r="U33" s="95">
        <f t="shared" si="42"/>
        <v>28606.37</v>
      </c>
      <c r="V33" s="41">
        <f>VLOOKUP($B33,'Taryfa PSG'!$B$4:$D$10,2,0)</f>
        <v>3.278</v>
      </c>
      <c r="W33" s="25">
        <f t="shared" si="51"/>
        <v>7002.46</v>
      </c>
      <c r="X33" s="24">
        <f>VLOOKUP($B33,'Taryfa PSG'!$B$4:$D$10,3,0)</f>
        <v>0.65400000000000003</v>
      </c>
      <c r="Y33" s="14">
        <f t="shared" si="52"/>
        <v>8650.07</v>
      </c>
      <c r="Z33" s="60">
        <f t="shared" si="53"/>
        <v>15652.529999999999</v>
      </c>
      <c r="AA33" s="97">
        <f t="shared" si="54"/>
        <v>44258.899999999994</v>
      </c>
      <c r="AB33" s="32">
        <v>0.23</v>
      </c>
      <c r="AC33" s="33">
        <f t="shared" si="55"/>
        <v>10179.549999999999</v>
      </c>
      <c r="AD33" s="34">
        <f t="shared" si="43"/>
        <v>54438.45</v>
      </c>
    </row>
    <row r="34" spans="2:30" ht="30.75" customHeight="1" x14ac:dyDescent="0.2">
      <c r="B34" s="47" t="s">
        <v>18</v>
      </c>
      <c r="C34" s="13">
        <v>1</v>
      </c>
      <c r="D34" s="13">
        <v>0</v>
      </c>
      <c r="E34" s="39">
        <v>0.11</v>
      </c>
      <c r="F34" s="29">
        <f t="shared" ref="F34" si="56">100%-E34</f>
        <v>0.89</v>
      </c>
      <c r="G34" s="13">
        <v>111</v>
      </c>
      <c r="H34" s="13">
        <v>11</v>
      </c>
      <c r="I34" s="126">
        <v>8016</v>
      </c>
      <c r="J34" s="23">
        <v>9331</v>
      </c>
      <c r="K34" s="23">
        <v>75499</v>
      </c>
      <c r="L34" s="23">
        <v>0</v>
      </c>
      <c r="M34" s="23">
        <v>0</v>
      </c>
      <c r="N34" s="40">
        <f t="shared" ref="N34" si="57">+J34+K34+L34+M34</f>
        <v>84830</v>
      </c>
      <c r="O34" s="94">
        <v>23.917999999999999</v>
      </c>
      <c r="P34" s="35"/>
      <c r="Q34" s="35">
        <v>24.308</v>
      </c>
      <c r="R34" s="35"/>
      <c r="S34" s="20">
        <v>123</v>
      </c>
      <c r="T34" s="20"/>
      <c r="U34" s="95">
        <f t="shared" ref="U34" si="58">+ROUND((J34*O34/100+K34*P34/100+L34*Q34/100+M34*R34/100+C34*H34*S34+D34*H34*T34),2)</f>
        <v>3584.79</v>
      </c>
      <c r="V34" s="41">
        <f>VLOOKUP($B34,'Taryfa PSG'!$B$4:$D$10,2,0)</f>
        <v>3.278</v>
      </c>
      <c r="W34" s="25">
        <f t="shared" ref="W34" si="59">+ROUND(N34*V34/100,2)</f>
        <v>2780.73</v>
      </c>
      <c r="X34" s="24">
        <f>VLOOKUP($B34,'Taryfa PSG'!$B$4:$D$10,3,0)</f>
        <v>0.65400000000000003</v>
      </c>
      <c r="Y34" s="14">
        <f t="shared" ref="Y34" si="60">+ROUND(G34*I34*X34/100,2)</f>
        <v>5819.14</v>
      </c>
      <c r="Z34" s="60">
        <f t="shared" ref="Z34" si="61">+W34+Y34</f>
        <v>8599.8700000000008</v>
      </c>
      <c r="AA34" s="97">
        <f t="shared" ref="AA34" si="62">+U34+Z34</f>
        <v>12184.66</v>
      </c>
      <c r="AB34" s="32">
        <v>0.23</v>
      </c>
      <c r="AC34" s="33">
        <f t="shared" ref="AC34" si="63">+ROUND(AA34*AB34,2)</f>
        <v>2802.47</v>
      </c>
      <c r="AD34" s="34">
        <f t="shared" ref="AD34" si="64">+AC34+AA34</f>
        <v>14987.13</v>
      </c>
    </row>
    <row r="35" spans="2:30" ht="30.75" customHeight="1" thickBot="1" x14ac:dyDescent="0.25">
      <c r="B35" s="120" t="s">
        <v>18</v>
      </c>
      <c r="C35" s="121">
        <v>0</v>
      </c>
      <c r="D35" s="121">
        <v>1</v>
      </c>
      <c r="E35" s="122">
        <v>0</v>
      </c>
      <c r="F35" s="123">
        <f t="shared" si="11"/>
        <v>1</v>
      </c>
      <c r="G35" s="121">
        <v>121</v>
      </c>
      <c r="H35" s="121">
        <v>11</v>
      </c>
      <c r="I35" s="127">
        <v>8016</v>
      </c>
      <c r="J35" s="124">
        <v>0</v>
      </c>
      <c r="K35" s="124">
        <v>81370</v>
      </c>
      <c r="L35" s="124">
        <v>0</v>
      </c>
      <c r="M35" s="124">
        <v>0</v>
      </c>
      <c r="N35" s="125">
        <f t="shared" ref="N35" si="65">+J35+K35+L35+M35</f>
        <v>81370</v>
      </c>
      <c r="O35" s="86">
        <v>23.917999999999999</v>
      </c>
      <c r="P35" s="85"/>
      <c r="Q35" s="85">
        <v>24.308</v>
      </c>
      <c r="R35" s="85"/>
      <c r="S35" s="54">
        <v>123</v>
      </c>
      <c r="T35" s="54"/>
      <c r="U35" s="96">
        <f t="shared" ref="U35" si="66">+ROUND((J35*O35/100+K35*P35/100+L35*Q35/100+M35*R35/100+C35*H35*S35+D35*H35*T35),2)</f>
        <v>0</v>
      </c>
      <c r="V35" s="42">
        <f>VLOOKUP($B35,'Taryfa PSG'!$B$4:$D$10,2,0)</f>
        <v>3.278</v>
      </c>
      <c r="W35" s="27">
        <f t="shared" si="14"/>
        <v>2667.31</v>
      </c>
      <c r="X35" s="26">
        <f>VLOOKUP($B35,'Taryfa PSG'!$B$4:$D$10,3,0)</f>
        <v>0.65400000000000003</v>
      </c>
      <c r="Y35" s="15">
        <f t="shared" ref="Y35" si="67">+ROUND(G35*I35*X35/100,2)</f>
        <v>6343.38</v>
      </c>
      <c r="Z35" s="61">
        <f t="shared" si="1"/>
        <v>9010.69</v>
      </c>
      <c r="AA35" s="98">
        <f t="shared" si="2"/>
        <v>9010.69</v>
      </c>
      <c r="AB35" s="91">
        <v>0.23</v>
      </c>
      <c r="AC35" s="92">
        <f t="shared" si="16"/>
        <v>2072.46</v>
      </c>
      <c r="AD35" s="93">
        <f t="shared" ref="AD35" si="68">+AC35+AA35</f>
        <v>11083.150000000001</v>
      </c>
    </row>
    <row r="36" spans="2:30" ht="39" customHeight="1" thickBot="1" x14ac:dyDescent="0.25">
      <c r="B36" s="7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9"/>
      <c r="W36" s="10"/>
      <c r="X36" s="11"/>
      <c r="Y36" s="12"/>
      <c r="Z36" s="12"/>
      <c r="AA36" s="87">
        <f>SUM(AA9:AA35)</f>
        <v>4431112.08</v>
      </c>
      <c r="AB36" s="88">
        <v>0.23</v>
      </c>
      <c r="AC36" s="89">
        <f>SUM(AC9:AC35)</f>
        <v>1019155.78</v>
      </c>
      <c r="AD36" s="90">
        <f>SUM(AD9:AD35)</f>
        <v>5450267.8599999994</v>
      </c>
    </row>
    <row r="37" spans="2:30" ht="39" customHeight="1" x14ac:dyDescent="0.2">
      <c r="B37" s="7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9"/>
      <c r="W37" s="10"/>
      <c r="X37" s="11"/>
      <c r="Y37" s="12"/>
      <c r="Z37" s="12"/>
      <c r="AA37" s="65"/>
      <c r="AB37" s="49"/>
      <c r="AC37" s="48"/>
      <c r="AD37" s="48"/>
    </row>
    <row r="38" spans="2:30" ht="39" customHeight="1" x14ac:dyDescent="0.2">
      <c r="B38" s="7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9"/>
      <c r="W38" s="10"/>
      <c r="X38" s="11"/>
      <c r="Y38" s="12"/>
      <c r="Z38" s="12"/>
      <c r="AA38" s="48"/>
      <c r="AB38" s="49"/>
      <c r="AC38" s="48"/>
      <c r="AD38" s="48"/>
    </row>
    <row r="39" spans="2:30" ht="39" customHeight="1" x14ac:dyDescent="0.2">
      <c r="B39" s="7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9"/>
      <c r="W39" s="10"/>
      <c r="X39" s="11"/>
      <c r="Y39" s="12"/>
      <c r="Z39" s="12"/>
      <c r="AA39" s="48"/>
      <c r="AB39" s="49"/>
      <c r="AC39" s="48"/>
      <c r="AD39" s="48"/>
    </row>
    <row r="40" spans="2:30" ht="39" customHeight="1" thickBot="1" x14ac:dyDescent="0.25">
      <c r="B40" s="7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9"/>
      <c r="W40" s="10"/>
      <c r="X40" s="11"/>
      <c r="Y40" s="12"/>
      <c r="Z40" s="65"/>
      <c r="AA40" s="48"/>
      <c r="AB40" s="49"/>
      <c r="AC40" s="48"/>
      <c r="AD40" s="65"/>
    </row>
    <row r="41" spans="2:30" ht="57.75" customHeight="1" thickBot="1" x14ac:dyDescent="0.25">
      <c r="B41" s="173" t="s">
        <v>73</v>
      </c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174"/>
      <c r="Y41" s="174"/>
      <c r="Z41" s="174"/>
      <c r="AA41" s="174"/>
      <c r="AB41" s="174"/>
      <c r="AC41" s="174"/>
      <c r="AD41" s="175"/>
    </row>
    <row r="42" spans="2:30" ht="38.25" customHeight="1" thickBot="1" x14ac:dyDescent="0.25">
      <c r="B42" s="176" t="s">
        <v>21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8"/>
      <c r="O42" s="179" t="s">
        <v>5</v>
      </c>
      <c r="P42" s="180"/>
      <c r="Q42" s="180"/>
      <c r="R42" s="180"/>
      <c r="S42" s="180"/>
      <c r="T42" s="180"/>
      <c r="U42" s="181"/>
      <c r="V42" s="182" t="s">
        <v>29</v>
      </c>
      <c r="W42" s="183"/>
      <c r="X42" s="183"/>
      <c r="Y42" s="183"/>
      <c r="Z42" s="184"/>
      <c r="AA42" s="185" t="s">
        <v>34</v>
      </c>
      <c r="AB42" s="186"/>
      <c r="AC42" s="186"/>
      <c r="AD42" s="187"/>
    </row>
    <row r="43" spans="2:30" ht="102" customHeight="1" x14ac:dyDescent="0.2">
      <c r="B43" s="144" t="s">
        <v>45</v>
      </c>
      <c r="C43" s="134" t="s">
        <v>1</v>
      </c>
      <c r="D43" s="135"/>
      <c r="E43" s="135"/>
      <c r="F43" s="136"/>
      <c r="G43" s="146" t="s">
        <v>3</v>
      </c>
      <c r="H43" s="146" t="s">
        <v>0</v>
      </c>
      <c r="I43" s="146" t="s">
        <v>6</v>
      </c>
      <c r="J43" s="142" t="s">
        <v>22</v>
      </c>
      <c r="K43" s="143"/>
      <c r="L43" s="142" t="s">
        <v>23</v>
      </c>
      <c r="M43" s="143"/>
      <c r="N43" s="148" t="s">
        <v>58</v>
      </c>
      <c r="O43" s="190" t="s">
        <v>41</v>
      </c>
      <c r="P43" s="143"/>
      <c r="Q43" s="142" t="s">
        <v>42</v>
      </c>
      <c r="R43" s="143"/>
      <c r="S43" s="142" t="s">
        <v>50</v>
      </c>
      <c r="T43" s="143"/>
      <c r="U43" s="148" t="s">
        <v>57</v>
      </c>
      <c r="V43" s="144" t="s">
        <v>2</v>
      </c>
      <c r="W43" s="146" t="s">
        <v>61</v>
      </c>
      <c r="X43" s="146" t="s">
        <v>63</v>
      </c>
      <c r="Y43" s="146" t="s">
        <v>64</v>
      </c>
      <c r="Z43" s="148" t="s">
        <v>65</v>
      </c>
      <c r="AA43" s="197" t="s">
        <v>66</v>
      </c>
      <c r="AB43" s="193" t="s">
        <v>43</v>
      </c>
      <c r="AC43" s="193" t="s">
        <v>67</v>
      </c>
      <c r="AD43" s="195" t="s">
        <v>68</v>
      </c>
    </row>
    <row r="44" spans="2:30" ht="106.5" customHeight="1" thickBot="1" x14ac:dyDescent="0.25">
      <c r="B44" s="150"/>
      <c r="C44" s="21" t="s">
        <v>44</v>
      </c>
      <c r="D44" s="22" t="s">
        <v>20</v>
      </c>
      <c r="E44" s="21" t="s">
        <v>55</v>
      </c>
      <c r="F44" s="22" t="s">
        <v>56</v>
      </c>
      <c r="G44" s="172"/>
      <c r="H44" s="172"/>
      <c r="I44" s="172"/>
      <c r="J44" s="21" t="s">
        <v>44</v>
      </c>
      <c r="K44" s="21" t="s">
        <v>20</v>
      </c>
      <c r="L44" s="21" t="s">
        <v>44</v>
      </c>
      <c r="M44" s="21" t="s">
        <v>20</v>
      </c>
      <c r="N44" s="149"/>
      <c r="O44" s="31" t="s">
        <v>44</v>
      </c>
      <c r="P44" s="22" t="s">
        <v>20</v>
      </c>
      <c r="Q44" s="21" t="s">
        <v>44</v>
      </c>
      <c r="R44" s="21" t="s">
        <v>20</v>
      </c>
      <c r="S44" s="21" t="s">
        <v>44</v>
      </c>
      <c r="T44" s="22" t="s">
        <v>20</v>
      </c>
      <c r="U44" s="149"/>
      <c r="V44" s="150"/>
      <c r="W44" s="172"/>
      <c r="X44" s="172"/>
      <c r="Y44" s="172"/>
      <c r="Z44" s="149"/>
      <c r="AA44" s="198"/>
      <c r="AB44" s="194"/>
      <c r="AC44" s="194"/>
      <c r="AD44" s="196"/>
    </row>
    <row r="45" spans="2:30" ht="19.5" customHeight="1" thickBot="1" x14ac:dyDescent="0.25">
      <c r="B45" s="68" t="s">
        <v>7</v>
      </c>
      <c r="C45" s="69" t="s">
        <v>8</v>
      </c>
      <c r="D45" s="69" t="s">
        <v>9</v>
      </c>
      <c r="E45" s="69" t="s">
        <v>10</v>
      </c>
      <c r="F45" s="69" t="s">
        <v>11</v>
      </c>
      <c r="G45" s="69" t="s">
        <v>12</v>
      </c>
      <c r="H45" s="69" t="s">
        <v>13</v>
      </c>
      <c r="I45" s="69" t="s">
        <v>14</v>
      </c>
      <c r="J45" s="69" t="s">
        <v>15</v>
      </c>
      <c r="K45" s="69" t="s">
        <v>16</v>
      </c>
      <c r="L45" s="69" t="s">
        <v>17</v>
      </c>
      <c r="M45" s="69" t="s">
        <v>24</v>
      </c>
      <c r="N45" s="70" t="s">
        <v>25</v>
      </c>
      <c r="O45" s="68" t="s">
        <v>26</v>
      </c>
      <c r="P45" s="69" t="s">
        <v>27</v>
      </c>
      <c r="Q45" s="69" t="s">
        <v>28</v>
      </c>
      <c r="R45" s="69" t="s">
        <v>30</v>
      </c>
      <c r="S45" s="69" t="s">
        <v>31</v>
      </c>
      <c r="T45" s="69" t="s">
        <v>32</v>
      </c>
      <c r="U45" s="70" t="s">
        <v>33</v>
      </c>
      <c r="V45" s="44" t="s">
        <v>35</v>
      </c>
      <c r="W45" s="30" t="s">
        <v>36</v>
      </c>
      <c r="X45" s="30" t="s">
        <v>37</v>
      </c>
      <c r="Y45" s="30" t="s">
        <v>38</v>
      </c>
      <c r="Z45" s="59" t="s">
        <v>39</v>
      </c>
      <c r="AA45" s="44" t="s">
        <v>51</v>
      </c>
      <c r="AB45" s="30" t="s">
        <v>52</v>
      </c>
      <c r="AC45" s="30" t="s">
        <v>53</v>
      </c>
      <c r="AD45" s="45" t="s">
        <v>54</v>
      </c>
    </row>
    <row r="46" spans="2:30" ht="30.75" customHeight="1" x14ac:dyDescent="0.2">
      <c r="B46" s="102" t="s">
        <v>47</v>
      </c>
      <c r="C46" s="103">
        <v>32</v>
      </c>
      <c r="D46" s="103">
        <v>0</v>
      </c>
      <c r="E46" s="104">
        <v>1</v>
      </c>
      <c r="F46" s="104">
        <f>100%-E46</f>
        <v>0</v>
      </c>
      <c r="G46" s="30" t="s">
        <v>4</v>
      </c>
      <c r="H46" s="103">
        <v>12</v>
      </c>
      <c r="I46" s="103" t="s">
        <v>40</v>
      </c>
      <c r="J46" s="105">
        <v>27720</v>
      </c>
      <c r="K46" s="105">
        <v>0</v>
      </c>
      <c r="L46" s="105">
        <v>1080</v>
      </c>
      <c r="M46" s="105">
        <v>0</v>
      </c>
      <c r="N46" s="106">
        <f t="shared" ref="N46:N72" si="69">+J46+K46+L46+M46</f>
        <v>28800</v>
      </c>
      <c r="O46" s="107">
        <v>23.965</v>
      </c>
      <c r="P46" s="108"/>
      <c r="Q46" s="108">
        <v>24.355</v>
      </c>
      <c r="R46" s="108"/>
      <c r="S46" s="109">
        <v>6.49</v>
      </c>
      <c r="T46" s="109"/>
      <c r="U46" s="110">
        <f>+ROUND((J46*O46/100+K46*P46/100+L46*Q46/100+M46*R46/100+C46*H46*S46+D46*H46*T46),2)</f>
        <v>9398.2900000000009</v>
      </c>
      <c r="V46" s="111">
        <f>VLOOKUP($B46,'Taryfa PSG'!$B$4:$D$10,2,0)</f>
        <v>6.7640000000000002</v>
      </c>
      <c r="W46" s="112">
        <f>+ROUND(N46*V46/100,2)</f>
        <v>1948.03</v>
      </c>
      <c r="X46" s="113">
        <f>VLOOKUP($B46,'Taryfa PSG'!$B$4:$D$10,3,0)</f>
        <v>4.5999999999999996</v>
      </c>
      <c r="Y46" s="114">
        <f>+ROUND((C46+D46)*H46*X46,2)</f>
        <v>1766.4</v>
      </c>
      <c r="Z46" s="115">
        <f t="shared" ref="Z46:Z72" si="70">+W46+Y46</f>
        <v>3714.4300000000003</v>
      </c>
      <c r="AA46" s="116">
        <f t="shared" ref="AA46:AA72" si="71">+U46+Z46</f>
        <v>13112.720000000001</v>
      </c>
      <c r="AB46" s="117">
        <v>0.23</v>
      </c>
      <c r="AC46" s="118">
        <f>+ROUND(AA46*AB46,2)</f>
        <v>3015.93</v>
      </c>
      <c r="AD46" s="119">
        <f>+AC46+AA46</f>
        <v>16128.650000000001</v>
      </c>
    </row>
    <row r="47" spans="2:30" ht="30.75" customHeight="1" x14ac:dyDescent="0.2">
      <c r="B47" s="46" t="s">
        <v>47</v>
      </c>
      <c r="C47" s="13">
        <v>3</v>
      </c>
      <c r="D47" s="13">
        <v>0</v>
      </c>
      <c r="E47" s="29">
        <v>0.5</v>
      </c>
      <c r="F47" s="29">
        <f t="shared" ref="F47:F72" si="72">100%-E47</f>
        <v>0.5</v>
      </c>
      <c r="G47" s="28" t="s">
        <v>4</v>
      </c>
      <c r="H47" s="13">
        <v>12</v>
      </c>
      <c r="I47" s="13" t="s">
        <v>40</v>
      </c>
      <c r="J47" s="23">
        <v>2580</v>
      </c>
      <c r="K47" s="23">
        <v>2580</v>
      </c>
      <c r="L47" s="23">
        <v>0</v>
      </c>
      <c r="M47" s="23">
        <v>0</v>
      </c>
      <c r="N47" s="40">
        <f t="shared" si="69"/>
        <v>5160</v>
      </c>
      <c r="O47" s="94">
        <v>23.965</v>
      </c>
      <c r="P47" s="35"/>
      <c r="Q47" s="35">
        <v>24.355</v>
      </c>
      <c r="R47" s="35"/>
      <c r="S47" s="20">
        <v>6.49</v>
      </c>
      <c r="T47" s="20"/>
      <c r="U47" s="95">
        <f t="shared" ref="U47:U72" si="73">+ROUND((J47*O47/100+K47*P47/100+L47*Q47/100+M47*R47/100+C47*H47*S47+D47*H47*T47),2)</f>
        <v>851.94</v>
      </c>
      <c r="V47" s="41">
        <f>VLOOKUP($B47,'Taryfa PSG'!$B$4:$D$10,2,0)</f>
        <v>6.7640000000000002</v>
      </c>
      <c r="W47" s="25">
        <f t="shared" ref="W47:W72" si="74">+ROUND(N47*V47/100,2)</f>
        <v>349.02</v>
      </c>
      <c r="X47" s="24">
        <f>VLOOKUP($B47,'Taryfa PSG'!$B$4:$D$10,3,0)</f>
        <v>4.5999999999999996</v>
      </c>
      <c r="Y47" s="14">
        <f t="shared" ref="Y47:Y64" si="75">+ROUND((C47+D47)*H47*X47,2)</f>
        <v>165.6</v>
      </c>
      <c r="Z47" s="60">
        <f t="shared" si="70"/>
        <v>514.62</v>
      </c>
      <c r="AA47" s="97">
        <f t="shared" si="71"/>
        <v>1366.56</v>
      </c>
      <c r="AB47" s="32">
        <v>0.23</v>
      </c>
      <c r="AC47" s="33">
        <f t="shared" ref="AC47:AC72" si="76">+ROUND(AA47*AB47,2)</f>
        <v>314.31</v>
      </c>
      <c r="AD47" s="34">
        <f t="shared" ref="AD47:AD72" si="77">+AC47+AA47</f>
        <v>1680.87</v>
      </c>
    </row>
    <row r="48" spans="2:30" ht="30.75" customHeight="1" x14ac:dyDescent="0.2">
      <c r="B48" s="46" t="s">
        <v>47</v>
      </c>
      <c r="C48" s="13">
        <v>0</v>
      </c>
      <c r="D48" s="13">
        <v>8</v>
      </c>
      <c r="E48" s="29">
        <v>0</v>
      </c>
      <c r="F48" s="29">
        <f t="shared" si="72"/>
        <v>1</v>
      </c>
      <c r="G48" s="28" t="s">
        <v>4</v>
      </c>
      <c r="H48" s="13">
        <v>12</v>
      </c>
      <c r="I48" s="13" t="s">
        <v>40</v>
      </c>
      <c r="J48" s="23">
        <v>0</v>
      </c>
      <c r="K48" s="23">
        <v>6480</v>
      </c>
      <c r="L48" s="23">
        <v>0</v>
      </c>
      <c r="M48" s="23">
        <v>0</v>
      </c>
      <c r="N48" s="40">
        <f t="shared" si="69"/>
        <v>6480</v>
      </c>
      <c r="O48" s="94">
        <v>23.965</v>
      </c>
      <c r="P48" s="35"/>
      <c r="Q48" s="35">
        <v>24.355</v>
      </c>
      <c r="R48" s="35"/>
      <c r="S48" s="20">
        <v>6.49</v>
      </c>
      <c r="T48" s="20"/>
      <c r="U48" s="95">
        <f t="shared" si="73"/>
        <v>0</v>
      </c>
      <c r="V48" s="41">
        <f>VLOOKUP($B48,'Taryfa PSG'!$B$4:$D$10,2,0)</f>
        <v>6.7640000000000002</v>
      </c>
      <c r="W48" s="25">
        <f t="shared" si="74"/>
        <v>438.31</v>
      </c>
      <c r="X48" s="24">
        <f>VLOOKUP($B48,'Taryfa PSG'!$B$4:$D$10,3,0)</f>
        <v>4.5999999999999996</v>
      </c>
      <c r="Y48" s="14">
        <f t="shared" si="75"/>
        <v>441.6</v>
      </c>
      <c r="Z48" s="60">
        <f t="shared" si="70"/>
        <v>879.91000000000008</v>
      </c>
      <c r="AA48" s="97">
        <f t="shared" si="71"/>
        <v>879.91000000000008</v>
      </c>
      <c r="AB48" s="32">
        <v>0.23</v>
      </c>
      <c r="AC48" s="33">
        <f t="shared" si="76"/>
        <v>202.38</v>
      </c>
      <c r="AD48" s="34">
        <f t="shared" si="77"/>
        <v>1082.29</v>
      </c>
    </row>
    <row r="49" spans="2:30" ht="30.75" customHeight="1" x14ac:dyDescent="0.2">
      <c r="B49" s="38" t="s">
        <v>48</v>
      </c>
      <c r="C49" s="13">
        <v>29</v>
      </c>
      <c r="D49" s="13">
        <v>0</v>
      </c>
      <c r="E49" s="29">
        <v>1</v>
      </c>
      <c r="F49" s="29">
        <f t="shared" si="72"/>
        <v>0</v>
      </c>
      <c r="G49" s="28" t="s">
        <v>4</v>
      </c>
      <c r="H49" s="13">
        <v>12</v>
      </c>
      <c r="I49" s="13" t="s">
        <v>40</v>
      </c>
      <c r="J49" s="23">
        <v>229720</v>
      </c>
      <c r="K49" s="23">
        <v>0</v>
      </c>
      <c r="L49" s="23">
        <v>9480</v>
      </c>
      <c r="M49" s="23">
        <v>0</v>
      </c>
      <c r="N49" s="40">
        <f t="shared" si="69"/>
        <v>239200</v>
      </c>
      <c r="O49" s="94">
        <v>23.965</v>
      </c>
      <c r="P49" s="35"/>
      <c r="Q49" s="35">
        <v>24.355</v>
      </c>
      <c r="R49" s="35"/>
      <c r="S49" s="20">
        <v>8.81</v>
      </c>
      <c r="T49" s="20"/>
      <c r="U49" s="95">
        <f t="shared" si="73"/>
        <v>60427.13</v>
      </c>
      <c r="V49" s="41">
        <f>VLOOKUP($B49,'Taryfa PSG'!$B$4:$D$10,2,0)</f>
        <v>4.92</v>
      </c>
      <c r="W49" s="25">
        <f t="shared" si="74"/>
        <v>11768.64</v>
      </c>
      <c r="X49" s="24">
        <f>VLOOKUP($B49,'Taryfa PSG'!$B$4:$D$10,3,0)</f>
        <v>11.7</v>
      </c>
      <c r="Y49" s="14">
        <f t="shared" si="75"/>
        <v>4071.6</v>
      </c>
      <c r="Z49" s="60">
        <f t="shared" si="70"/>
        <v>15840.24</v>
      </c>
      <c r="AA49" s="97">
        <f t="shared" si="71"/>
        <v>76267.37</v>
      </c>
      <c r="AB49" s="32">
        <v>0.23</v>
      </c>
      <c r="AC49" s="33">
        <f t="shared" si="76"/>
        <v>17541.5</v>
      </c>
      <c r="AD49" s="34">
        <f t="shared" si="77"/>
        <v>93808.87</v>
      </c>
    </row>
    <row r="50" spans="2:30" ht="30.75" customHeight="1" x14ac:dyDescent="0.2">
      <c r="B50" s="38" t="s">
        <v>48</v>
      </c>
      <c r="C50" s="13">
        <v>2</v>
      </c>
      <c r="D50" s="13">
        <v>0</v>
      </c>
      <c r="E50" s="29">
        <v>0.5</v>
      </c>
      <c r="F50" s="29">
        <f t="shared" si="72"/>
        <v>0.5</v>
      </c>
      <c r="G50" s="28" t="s">
        <v>4</v>
      </c>
      <c r="H50" s="13">
        <v>12</v>
      </c>
      <c r="I50" s="13" t="s">
        <v>40</v>
      </c>
      <c r="J50" s="23">
        <v>6060</v>
      </c>
      <c r="K50" s="23">
        <v>6060</v>
      </c>
      <c r="L50" s="23">
        <v>0</v>
      </c>
      <c r="M50" s="23">
        <v>0</v>
      </c>
      <c r="N50" s="40">
        <f t="shared" si="69"/>
        <v>12120</v>
      </c>
      <c r="O50" s="94">
        <v>23.965</v>
      </c>
      <c r="P50" s="35"/>
      <c r="Q50" s="35">
        <v>24.355</v>
      </c>
      <c r="R50" s="35"/>
      <c r="S50" s="20">
        <v>8.81</v>
      </c>
      <c r="T50" s="20"/>
      <c r="U50" s="95">
        <f t="shared" si="73"/>
        <v>1663.72</v>
      </c>
      <c r="V50" s="41">
        <f>VLOOKUP($B50,'Taryfa PSG'!$B$4:$D$10,2,0)</f>
        <v>4.92</v>
      </c>
      <c r="W50" s="25">
        <f t="shared" si="74"/>
        <v>596.29999999999995</v>
      </c>
      <c r="X50" s="24">
        <f>VLOOKUP($B50,'Taryfa PSG'!$B$4:$D$10,3,0)</f>
        <v>11.7</v>
      </c>
      <c r="Y50" s="14">
        <f t="shared" si="75"/>
        <v>280.8</v>
      </c>
      <c r="Z50" s="60">
        <f t="shared" si="70"/>
        <v>877.09999999999991</v>
      </c>
      <c r="AA50" s="97">
        <f t="shared" si="71"/>
        <v>2540.8199999999997</v>
      </c>
      <c r="AB50" s="32">
        <v>0.23</v>
      </c>
      <c r="AC50" s="33">
        <f t="shared" si="76"/>
        <v>584.39</v>
      </c>
      <c r="AD50" s="34">
        <f t="shared" si="77"/>
        <v>3125.2099999999996</v>
      </c>
    </row>
    <row r="51" spans="2:30" ht="30.75" customHeight="1" x14ac:dyDescent="0.2">
      <c r="B51" s="38" t="s">
        <v>48</v>
      </c>
      <c r="C51" s="13">
        <v>0</v>
      </c>
      <c r="D51" s="13">
        <v>8</v>
      </c>
      <c r="E51" s="29">
        <v>0</v>
      </c>
      <c r="F51" s="29">
        <f t="shared" si="72"/>
        <v>1</v>
      </c>
      <c r="G51" s="28" t="s">
        <v>4</v>
      </c>
      <c r="H51" s="13">
        <v>12</v>
      </c>
      <c r="I51" s="13" t="s">
        <v>40</v>
      </c>
      <c r="J51" s="23">
        <v>0</v>
      </c>
      <c r="K51" s="23">
        <v>54720</v>
      </c>
      <c r="L51" s="23">
        <v>0</v>
      </c>
      <c r="M51" s="23">
        <v>11160</v>
      </c>
      <c r="N51" s="40">
        <f t="shared" si="69"/>
        <v>65880</v>
      </c>
      <c r="O51" s="94">
        <v>23.965</v>
      </c>
      <c r="P51" s="35"/>
      <c r="Q51" s="35">
        <v>24.355</v>
      </c>
      <c r="R51" s="35"/>
      <c r="S51" s="20">
        <v>8.81</v>
      </c>
      <c r="T51" s="20"/>
      <c r="U51" s="95">
        <f t="shared" si="73"/>
        <v>0</v>
      </c>
      <c r="V51" s="41">
        <f>VLOOKUP($B51,'Taryfa PSG'!$B$4:$D$10,2,0)</f>
        <v>4.92</v>
      </c>
      <c r="W51" s="25">
        <f t="shared" si="74"/>
        <v>3241.3</v>
      </c>
      <c r="X51" s="24">
        <f>VLOOKUP($B51,'Taryfa PSG'!$B$4:$D$10,3,0)</f>
        <v>11.7</v>
      </c>
      <c r="Y51" s="14">
        <f t="shared" si="75"/>
        <v>1123.2</v>
      </c>
      <c r="Z51" s="60">
        <f t="shared" si="70"/>
        <v>4364.5</v>
      </c>
      <c r="AA51" s="97">
        <f t="shared" si="71"/>
        <v>4364.5</v>
      </c>
      <c r="AB51" s="32">
        <v>0.23</v>
      </c>
      <c r="AC51" s="33">
        <f t="shared" si="76"/>
        <v>1003.84</v>
      </c>
      <c r="AD51" s="34">
        <f t="shared" si="77"/>
        <v>5368.34</v>
      </c>
    </row>
    <row r="52" spans="2:30" ht="30.75" customHeight="1" x14ac:dyDescent="0.2">
      <c r="B52" s="37" t="s">
        <v>49</v>
      </c>
      <c r="C52" s="13">
        <v>77</v>
      </c>
      <c r="D52" s="13">
        <v>0</v>
      </c>
      <c r="E52" s="29">
        <v>1</v>
      </c>
      <c r="F52" s="29">
        <f t="shared" si="72"/>
        <v>0</v>
      </c>
      <c r="G52" s="28" t="s">
        <v>4</v>
      </c>
      <c r="H52" s="13">
        <v>12</v>
      </c>
      <c r="I52" s="13" t="s">
        <v>40</v>
      </c>
      <c r="J52" s="23">
        <v>2780186</v>
      </c>
      <c r="K52" s="23">
        <v>0</v>
      </c>
      <c r="L52" s="23">
        <v>289424</v>
      </c>
      <c r="M52" s="23">
        <v>0</v>
      </c>
      <c r="N52" s="40">
        <f t="shared" si="69"/>
        <v>3069610</v>
      </c>
      <c r="O52" s="94">
        <v>23.965</v>
      </c>
      <c r="P52" s="35"/>
      <c r="Q52" s="35">
        <v>24.355</v>
      </c>
      <c r="R52" s="35"/>
      <c r="S52" s="20">
        <v>10.02</v>
      </c>
      <c r="T52" s="20"/>
      <c r="U52" s="95">
        <f t="shared" si="73"/>
        <v>746019.27</v>
      </c>
      <c r="V52" s="41">
        <f>VLOOKUP($B52,'Taryfa PSG'!$B$4:$D$10,2,0)</f>
        <v>3.6890000000000001</v>
      </c>
      <c r="W52" s="25">
        <f t="shared" si="74"/>
        <v>113237.91</v>
      </c>
      <c r="X52" s="24">
        <f>VLOOKUP($B52,'Taryfa PSG'!$B$4:$D$10,3,0)</f>
        <v>45.19</v>
      </c>
      <c r="Y52" s="14">
        <f t="shared" si="75"/>
        <v>41755.56</v>
      </c>
      <c r="Z52" s="60">
        <f t="shared" si="70"/>
        <v>154993.47</v>
      </c>
      <c r="AA52" s="97">
        <f t="shared" si="71"/>
        <v>901012.74</v>
      </c>
      <c r="AB52" s="32">
        <v>0.23</v>
      </c>
      <c r="AC52" s="33">
        <f t="shared" si="76"/>
        <v>207232.93</v>
      </c>
      <c r="AD52" s="34">
        <f t="shared" si="77"/>
        <v>1108245.67</v>
      </c>
    </row>
    <row r="53" spans="2:30" ht="30.75" customHeight="1" x14ac:dyDescent="0.2">
      <c r="B53" s="37" t="s">
        <v>49</v>
      </c>
      <c r="C53" s="13">
        <v>4</v>
      </c>
      <c r="D53" s="13">
        <v>0</v>
      </c>
      <c r="E53" s="29">
        <v>0.5</v>
      </c>
      <c r="F53" s="29">
        <f t="shared" si="72"/>
        <v>0.5</v>
      </c>
      <c r="G53" s="28" t="s">
        <v>4</v>
      </c>
      <c r="H53" s="13">
        <v>12</v>
      </c>
      <c r="I53" s="13" t="s">
        <v>40</v>
      </c>
      <c r="J53" s="23">
        <v>50690</v>
      </c>
      <c r="K53" s="23">
        <v>50690</v>
      </c>
      <c r="L53" s="23">
        <v>0</v>
      </c>
      <c r="M53" s="23">
        <v>0</v>
      </c>
      <c r="N53" s="40">
        <f t="shared" si="69"/>
        <v>101380</v>
      </c>
      <c r="O53" s="94">
        <v>23.965</v>
      </c>
      <c r="P53" s="35"/>
      <c r="Q53" s="35">
        <v>24.355</v>
      </c>
      <c r="R53" s="35"/>
      <c r="S53" s="20">
        <v>10.02</v>
      </c>
      <c r="T53" s="20"/>
      <c r="U53" s="95">
        <f t="shared" si="73"/>
        <v>12628.82</v>
      </c>
      <c r="V53" s="41">
        <f>VLOOKUP($B53,'Taryfa PSG'!$B$4:$D$10,2,0)</f>
        <v>3.6890000000000001</v>
      </c>
      <c r="W53" s="25">
        <f t="shared" si="74"/>
        <v>3739.91</v>
      </c>
      <c r="X53" s="24">
        <f>VLOOKUP($B53,'Taryfa PSG'!$B$4:$D$10,3,0)</f>
        <v>45.19</v>
      </c>
      <c r="Y53" s="14">
        <f t="shared" si="75"/>
        <v>2169.12</v>
      </c>
      <c r="Z53" s="60">
        <f t="shared" si="70"/>
        <v>5909.03</v>
      </c>
      <c r="AA53" s="97">
        <f t="shared" si="71"/>
        <v>18537.849999999999</v>
      </c>
      <c r="AB53" s="32">
        <v>0.23</v>
      </c>
      <c r="AC53" s="33">
        <f t="shared" si="76"/>
        <v>4263.71</v>
      </c>
      <c r="AD53" s="34">
        <f t="shared" si="77"/>
        <v>22801.559999999998</v>
      </c>
    </row>
    <row r="54" spans="2:30" ht="30.75" customHeight="1" x14ac:dyDescent="0.2">
      <c r="B54" s="37" t="s">
        <v>49</v>
      </c>
      <c r="C54" s="13">
        <v>1</v>
      </c>
      <c r="D54" s="13">
        <v>0</v>
      </c>
      <c r="E54" s="43">
        <v>0.25</v>
      </c>
      <c r="F54" s="29">
        <f t="shared" si="72"/>
        <v>0.75</v>
      </c>
      <c r="G54" s="28" t="s">
        <v>4</v>
      </c>
      <c r="H54" s="13">
        <v>12</v>
      </c>
      <c r="I54" s="13" t="s">
        <v>40</v>
      </c>
      <c r="J54" s="23">
        <v>10940</v>
      </c>
      <c r="K54" s="23">
        <v>32820</v>
      </c>
      <c r="L54" s="23">
        <v>0</v>
      </c>
      <c r="M54" s="23">
        <v>0</v>
      </c>
      <c r="N54" s="40">
        <f t="shared" si="69"/>
        <v>43760</v>
      </c>
      <c r="O54" s="94">
        <v>23.965</v>
      </c>
      <c r="P54" s="35"/>
      <c r="Q54" s="35">
        <v>24.355</v>
      </c>
      <c r="R54" s="35"/>
      <c r="S54" s="20">
        <v>10.02</v>
      </c>
      <c r="T54" s="20"/>
      <c r="U54" s="95">
        <f t="shared" si="73"/>
        <v>2742.01</v>
      </c>
      <c r="V54" s="41">
        <f>VLOOKUP($B54,'Taryfa PSG'!$B$4:$D$10,2,0)</f>
        <v>3.6890000000000001</v>
      </c>
      <c r="W54" s="25">
        <f t="shared" si="74"/>
        <v>1614.31</v>
      </c>
      <c r="X54" s="24">
        <f>VLOOKUP($B54,'Taryfa PSG'!$B$4:$D$10,3,0)</f>
        <v>45.19</v>
      </c>
      <c r="Y54" s="14">
        <f t="shared" si="75"/>
        <v>542.28</v>
      </c>
      <c r="Z54" s="60">
        <f t="shared" si="70"/>
        <v>2156.59</v>
      </c>
      <c r="AA54" s="97">
        <f t="shared" si="71"/>
        <v>4898.6000000000004</v>
      </c>
      <c r="AB54" s="32">
        <v>0.23</v>
      </c>
      <c r="AC54" s="33">
        <f t="shared" si="76"/>
        <v>1126.68</v>
      </c>
      <c r="AD54" s="34">
        <f t="shared" si="77"/>
        <v>6025.2800000000007</v>
      </c>
    </row>
    <row r="55" spans="2:30" ht="30.75" customHeight="1" x14ac:dyDescent="0.2">
      <c r="B55" s="37" t="s">
        <v>49</v>
      </c>
      <c r="C55" s="13">
        <v>0</v>
      </c>
      <c r="D55" s="13">
        <v>13</v>
      </c>
      <c r="E55" s="43">
        <v>0</v>
      </c>
      <c r="F55" s="29">
        <f t="shared" si="72"/>
        <v>1</v>
      </c>
      <c r="G55" s="28" t="s">
        <v>4</v>
      </c>
      <c r="H55" s="13">
        <v>12</v>
      </c>
      <c r="I55" s="13" t="s">
        <v>40</v>
      </c>
      <c r="J55" s="23">
        <v>0</v>
      </c>
      <c r="K55" s="23">
        <v>261290</v>
      </c>
      <c r="L55" s="23">
        <v>0</v>
      </c>
      <c r="M55" s="23">
        <v>162980</v>
      </c>
      <c r="N55" s="40">
        <f t="shared" si="69"/>
        <v>424270</v>
      </c>
      <c r="O55" s="94">
        <v>23.965</v>
      </c>
      <c r="P55" s="35"/>
      <c r="Q55" s="35">
        <v>24.355</v>
      </c>
      <c r="R55" s="35"/>
      <c r="S55" s="20">
        <v>10.02</v>
      </c>
      <c r="T55" s="20"/>
      <c r="U55" s="95">
        <f t="shared" si="73"/>
        <v>0</v>
      </c>
      <c r="V55" s="41">
        <f>VLOOKUP($B55,'Taryfa PSG'!$B$4:$D$10,2,0)</f>
        <v>3.6890000000000001</v>
      </c>
      <c r="W55" s="25">
        <f t="shared" si="74"/>
        <v>15651.32</v>
      </c>
      <c r="X55" s="24">
        <f>VLOOKUP($B55,'Taryfa PSG'!$B$4:$D$10,3,0)</f>
        <v>45.19</v>
      </c>
      <c r="Y55" s="14">
        <f t="shared" si="75"/>
        <v>7049.64</v>
      </c>
      <c r="Z55" s="60">
        <f t="shared" si="70"/>
        <v>22700.959999999999</v>
      </c>
      <c r="AA55" s="97">
        <f t="shared" si="71"/>
        <v>22700.959999999999</v>
      </c>
      <c r="AB55" s="32">
        <v>0.23</v>
      </c>
      <c r="AC55" s="33">
        <f t="shared" si="76"/>
        <v>5221.22</v>
      </c>
      <c r="AD55" s="34">
        <f t="shared" si="77"/>
        <v>27922.18</v>
      </c>
    </row>
    <row r="56" spans="2:30" ht="30.75" customHeight="1" x14ac:dyDescent="0.2">
      <c r="B56" s="36" t="s">
        <v>19</v>
      </c>
      <c r="C56" s="13">
        <v>26</v>
      </c>
      <c r="D56" s="13">
        <v>0</v>
      </c>
      <c r="E56" s="39">
        <v>1</v>
      </c>
      <c r="F56" s="29">
        <f t="shared" si="72"/>
        <v>0</v>
      </c>
      <c r="G56" s="28" t="s">
        <v>4</v>
      </c>
      <c r="H56" s="13">
        <v>12</v>
      </c>
      <c r="I56" s="13" t="s">
        <v>40</v>
      </c>
      <c r="J56" s="23">
        <v>3052380</v>
      </c>
      <c r="K56" s="23">
        <v>0</v>
      </c>
      <c r="L56" s="23">
        <v>345690</v>
      </c>
      <c r="M56" s="23">
        <v>0</v>
      </c>
      <c r="N56" s="40">
        <f t="shared" si="69"/>
        <v>3398070</v>
      </c>
      <c r="O56" s="94">
        <v>23.965</v>
      </c>
      <c r="P56" s="35"/>
      <c r="Q56" s="35">
        <v>24.355</v>
      </c>
      <c r="R56" s="35"/>
      <c r="S56" s="20">
        <v>16.11</v>
      </c>
      <c r="T56" s="20"/>
      <c r="U56" s="95">
        <f t="shared" si="73"/>
        <v>820721.99</v>
      </c>
      <c r="V56" s="41">
        <f>VLOOKUP($B56,'Taryfa PSG'!$B$4:$D$10,2,0)</f>
        <v>3.6150000000000002</v>
      </c>
      <c r="W56" s="25">
        <f t="shared" si="74"/>
        <v>122840.23</v>
      </c>
      <c r="X56" s="24">
        <f>VLOOKUP($B56,'Taryfa PSG'!$B$4:$D$10,3,0)</f>
        <v>252.42</v>
      </c>
      <c r="Y56" s="14">
        <f t="shared" si="75"/>
        <v>78755.039999999994</v>
      </c>
      <c r="Z56" s="60">
        <f t="shared" si="70"/>
        <v>201595.27</v>
      </c>
      <c r="AA56" s="97">
        <f t="shared" si="71"/>
        <v>1022317.26</v>
      </c>
      <c r="AB56" s="32">
        <v>0.23</v>
      </c>
      <c r="AC56" s="33">
        <f t="shared" si="76"/>
        <v>235132.97</v>
      </c>
      <c r="AD56" s="34">
        <f t="shared" si="77"/>
        <v>1257450.23</v>
      </c>
    </row>
    <row r="57" spans="2:30" ht="30.75" customHeight="1" x14ac:dyDescent="0.2">
      <c r="B57" s="36" t="s">
        <v>19</v>
      </c>
      <c r="C57" s="13">
        <v>1</v>
      </c>
      <c r="D57" s="13">
        <v>0</v>
      </c>
      <c r="E57" s="39">
        <v>0.86850000000000005</v>
      </c>
      <c r="F57" s="29">
        <f t="shared" si="72"/>
        <v>0.13149999999999995</v>
      </c>
      <c r="G57" s="28" t="s">
        <v>4</v>
      </c>
      <c r="H57" s="13">
        <v>12</v>
      </c>
      <c r="I57" s="13" t="s">
        <v>40</v>
      </c>
      <c r="J57" s="23">
        <v>77166</v>
      </c>
      <c r="K57" s="23">
        <v>11684</v>
      </c>
      <c r="L57" s="23">
        <v>0</v>
      </c>
      <c r="M57" s="23">
        <v>0</v>
      </c>
      <c r="N57" s="40">
        <f t="shared" si="69"/>
        <v>88850</v>
      </c>
      <c r="O57" s="94">
        <v>23.965</v>
      </c>
      <c r="P57" s="35"/>
      <c r="Q57" s="35">
        <v>24.355</v>
      </c>
      <c r="R57" s="35"/>
      <c r="S57" s="20">
        <v>16.11</v>
      </c>
      <c r="T57" s="20"/>
      <c r="U57" s="95">
        <f t="shared" si="73"/>
        <v>18686.150000000001</v>
      </c>
      <c r="V57" s="41">
        <f>VLOOKUP($B57,'Taryfa PSG'!$B$4:$D$10,2,0)</f>
        <v>3.6150000000000002</v>
      </c>
      <c r="W57" s="25">
        <f t="shared" si="74"/>
        <v>3211.93</v>
      </c>
      <c r="X57" s="24">
        <f>VLOOKUP($B57,'Taryfa PSG'!$B$4:$D$10,3,0)</f>
        <v>252.42</v>
      </c>
      <c r="Y57" s="14">
        <f t="shared" si="75"/>
        <v>3029.04</v>
      </c>
      <c r="Z57" s="60">
        <f t="shared" si="70"/>
        <v>6240.9699999999993</v>
      </c>
      <c r="AA57" s="97">
        <f t="shared" si="71"/>
        <v>24927.120000000003</v>
      </c>
      <c r="AB57" s="32">
        <v>0.23</v>
      </c>
      <c r="AC57" s="33">
        <f t="shared" si="76"/>
        <v>5733.24</v>
      </c>
      <c r="AD57" s="34">
        <f t="shared" si="77"/>
        <v>30660.36</v>
      </c>
    </row>
    <row r="58" spans="2:30" ht="30.75" customHeight="1" x14ac:dyDescent="0.2">
      <c r="B58" s="36" t="s">
        <v>19</v>
      </c>
      <c r="C58" s="13">
        <v>1</v>
      </c>
      <c r="D58" s="13">
        <v>0</v>
      </c>
      <c r="E58" s="39">
        <v>0.8</v>
      </c>
      <c r="F58" s="29">
        <f t="shared" si="72"/>
        <v>0.19999999999999996</v>
      </c>
      <c r="G58" s="28" t="s">
        <v>4</v>
      </c>
      <c r="H58" s="13">
        <v>12</v>
      </c>
      <c r="I58" s="13" t="s">
        <v>40</v>
      </c>
      <c r="J58" s="23">
        <v>90272</v>
      </c>
      <c r="K58" s="23">
        <v>22568</v>
      </c>
      <c r="L58" s="23">
        <v>0</v>
      </c>
      <c r="M58" s="23">
        <v>0</v>
      </c>
      <c r="N58" s="40">
        <f t="shared" si="69"/>
        <v>112840</v>
      </c>
      <c r="O58" s="94">
        <v>23.965</v>
      </c>
      <c r="P58" s="35"/>
      <c r="Q58" s="35">
        <v>24.355</v>
      </c>
      <c r="R58" s="35"/>
      <c r="S58" s="20">
        <v>16.11</v>
      </c>
      <c r="T58" s="20"/>
      <c r="U58" s="95">
        <f t="shared" si="73"/>
        <v>21827</v>
      </c>
      <c r="V58" s="41">
        <f>VLOOKUP($B58,'Taryfa PSG'!$B$4:$D$10,2,0)</f>
        <v>3.6150000000000002</v>
      </c>
      <c r="W58" s="25">
        <f t="shared" si="74"/>
        <v>4079.17</v>
      </c>
      <c r="X58" s="24">
        <f>VLOOKUP($B58,'Taryfa PSG'!$B$4:$D$10,3,0)</f>
        <v>252.42</v>
      </c>
      <c r="Y58" s="14">
        <f t="shared" si="75"/>
        <v>3029.04</v>
      </c>
      <c r="Z58" s="60">
        <f t="shared" si="70"/>
        <v>7108.21</v>
      </c>
      <c r="AA58" s="97">
        <f t="shared" si="71"/>
        <v>28935.21</v>
      </c>
      <c r="AB58" s="32">
        <v>0.23</v>
      </c>
      <c r="AC58" s="33">
        <f t="shared" si="76"/>
        <v>6655.1</v>
      </c>
      <c r="AD58" s="34">
        <f t="shared" si="77"/>
        <v>35590.31</v>
      </c>
    </row>
    <row r="59" spans="2:30" ht="30.75" customHeight="1" x14ac:dyDescent="0.2">
      <c r="B59" s="36" t="s">
        <v>19</v>
      </c>
      <c r="C59" s="13">
        <v>1</v>
      </c>
      <c r="D59" s="13">
        <v>0</v>
      </c>
      <c r="E59" s="39">
        <v>0.75480000000000003</v>
      </c>
      <c r="F59" s="29">
        <f t="shared" si="72"/>
        <v>0.24519999999999997</v>
      </c>
      <c r="G59" s="28" t="s">
        <v>4</v>
      </c>
      <c r="H59" s="13">
        <v>12</v>
      </c>
      <c r="I59" s="13" t="s">
        <v>40</v>
      </c>
      <c r="J59" s="23">
        <v>0</v>
      </c>
      <c r="K59" s="23">
        <v>0</v>
      </c>
      <c r="L59" s="23">
        <v>76114</v>
      </c>
      <c r="M59" s="23">
        <v>24726</v>
      </c>
      <c r="N59" s="40">
        <f t="shared" si="69"/>
        <v>100840</v>
      </c>
      <c r="O59" s="94">
        <v>23.965</v>
      </c>
      <c r="P59" s="35"/>
      <c r="Q59" s="35">
        <v>24.355</v>
      </c>
      <c r="R59" s="35"/>
      <c r="S59" s="20">
        <v>16.11</v>
      </c>
      <c r="T59" s="20"/>
      <c r="U59" s="95">
        <f t="shared" si="73"/>
        <v>18730.88</v>
      </c>
      <c r="V59" s="41">
        <f>VLOOKUP($B59,'Taryfa PSG'!$B$4:$D$10,2,0)</f>
        <v>3.6150000000000002</v>
      </c>
      <c r="W59" s="25">
        <f t="shared" si="74"/>
        <v>3645.37</v>
      </c>
      <c r="X59" s="24">
        <f>VLOOKUP($B59,'Taryfa PSG'!$B$4:$D$10,3,0)</f>
        <v>252.42</v>
      </c>
      <c r="Y59" s="14">
        <f t="shared" si="75"/>
        <v>3029.04</v>
      </c>
      <c r="Z59" s="60">
        <f t="shared" si="70"/>
        <v>6674.41</v>
      </c>
      <c r="AA59" s="97">
        <f t="shared" si="71"/>
        <v>25405.29</v>
      </c>
      <c r="AB59" s="32">
        <v>0.23</v>
      </c>
      <c r="AC59" s="33">
        <f t="shared" si="76"/>
        <v>5843.22</v>
      </c>
      <c r="AD59" s="34">
        <f t="shared" si="77"/>
        <v>31248.510000000002</v>
      </c>
    </row>
    <row r="60" spans="2:30" ht="30.75" customHeight="1" x14ac:dyDescent="0.2">
      <c r="B60" s="36" t="s">
        <v>19</v>
      </c>
      <c r="C60" s="13">
        <v>1</v>
      </c>
      <c r="D60" s="13">
        <v>0</v>
      </c>
      <c r="E60" s="39">
        <v>0.67330000000000001</v>
      </c>
      <c r="F60" s="29">
        <f t="shared" si="72"/>
        <v>0.32669999999999999</v>
      </c>
      <c r="G60" s="28" t="s">
        <v>4</v>
      </c>
      <c r="H60" s="13">
        <v>12</v>
      </c>
      <c r="I60" s="13" t="s">
        <v>40</v>
      </c>
      <c r="J60" s="23">
        <v>61607</v>
      </c>
      <c r="K60" s="23">
        <v>29893</v>
      </c>
      <c r="L60" s="23">
        <v>0</v>
      </c>
      <c r="M60" s="23">
        <v>0</v>
      </c>
      <c r="N60" s="40">
        <f t="shared" si="69"/>
        <v>91500</v>
      </c>
      <c r="O60" s="94">
        <v>23.965</v>
      </c>
      <c r="P60" s="35"/>
      <c r="Q60" s="35">
        <v>24.355</v>
      </c>
      <c r="R60" s="35"/>
      <c r="S60" s="20">
        <v>16.11</v>
      </c>
      <c r="T60" s="20"/>
      <c r="U60" s="95">
        <f t="shared" si="73"/>
        <v>14957.44</v>
      </c>
      <c r="V60" s="41">
        <f>VLOOKUP($B60,'Taryfa PSG'!$B$4:$D$10,2,0)</f>
        <v>3.6150000000000002</v>
      </c>
      <c r="W60" s="25">
        <f t="shared" si="74"/>
        <v>3307.73</v>
      </c>
      <c r="X60" s="24">
        <f>VLOOKUP($B60,'Taryfa PSG'!$B$4:$D$10,3,0)</f>
        <v>252.42</v>
      </c>
      <c r="Y60" s="14">
        <f t="shared" si="75"/>
        <v>3029.04</v>
      </c>
      <c r="Z60" s="60">
        <f t="shared" si="70"/>
        <v>6336.77</v>
      </c>
      <c r="AA60" s="97">
        <f t="shared" si="71"/>
        <v>21294.21</v>
      </c>
      <c r="AB60" s="32">
        <v>0.23</v>
      </c>
      <c r="AC60" s="33">
        <f t="shared" si="76"/>
        <v>4897.67</v>
      </c>
      <c r="AD60" s="34">
        <f t="shared" si="77"/>
        <v>26191.879999999997</v>
      </c>
    </row>
    <row r="61" spans="2:30" ht="30.75" customHeight="1" x14ac:dyDescent="0.2">
      <c r="B61" s="36" t="s">
        <v>19</v>
      </c>
      <c r="C61" s="13">
        <v>1</v>
      </c>
      <c r="D61" s="13">
        <v>0</v>
      </c>
      <c r="E61" s="39">
        <v>0.6</v>
      </c>
      <c r="F61" s="29">
        <f t="shared" si="72"/>
        <v>0.4</v>
      </c>
      <c r="G61" s="28" t="s">
        <v>4</v>
      </c>
      <c r="H61" s="13">
        <v>12</v>
      </c>
      <c r="I61" s="13" t="s">
        <v>40</v>
      </c>
      <c r="J61" s="23">
        <v>83544</v>
      </c>
      <c r="K61" s="23">
        <v>55696</v>
      </c>
      <c r="L61" s="23">
        <v>0</v>
      </c>
      <c r="M61" s="23">
        <v>0</v>
      </c>
      <c r="N61" s="40">
        <f t="shared" si="69"/>
        <v>139240</v>
      </c>
      <c r="O61" s="94">
        <v>23.965</v>
      </c>
      <c r="P61" s="35"/>
      <c r="Q61" s="35">
        <v>24.355</v>
      </c>
      <c r="R61" s="35"/>
      <c r="S61" s="20">
        <v>16.11</v>
      </c>
      <c r="T61" s="20"/>
      <c r="U61" s="95">
        <f t="shared" si="73"/>
        <v>20214.64</v>
      </c>
      <c r="V61" s="41">
        <f>VLOOKUP($B61,'Taryfa PSG'!$B$4:$D$10,2,0)</f>
        <v>3.6150000000000002</v>
      </c>
      <c r="W61" s="25">
        <f t="shared" si="74"/>
        <v>5033.53</v>
      </c>
      <c r="X61" s="24">
        <f>VLOOKUP($B61,'Taryfa PSG'!$B$4:$D$10,3,0)</f>
        <v>252.42</v>
      </c>
      <c r="Y61" s="14">
        <f t="shared" si="75"/>
        <v>3029.04</v>
      </c>
      <c r="Z61" s="60">
        <f t="shared" si="70"/>
        <v>8062.57</v>
      </c>
      <c r="AA61" s="97">
        <f t="shared" si="71"/>
        <v>28277.21</v>
      </c>
      <c r="AB61" s="32">
        <v>0.23</v>
      </c>
      <c r="AC61" s="33">
        <f t="shared" si="76"/>
        <v>6503.76</v>
      </c>
      <c r="AD61" s="34">
        <f t="shared" si="77"/>
        <v>34780.97</v>
      </c>
    </row>
    <row r="62" spans="2:30" ht="30.75" customHeight="1" x14ac:dyDescent="0.2">
      <c r="B62" s="36" t="s">
        <v>19</v>
      </c>
      <c r="C62" s="13">
        <v>1</v>
      </c>
      <c r="D62" s="13">
        <v>0</v>
      </c>
      <c r="E62" s="39">
        <v>0.33400000000000002</v>
      </c>
      <c r="F62" s="29">
        <f t="shared" si="72"/>
        <v>0.66599999999999993</v>
      </c>
      <c r="G62" s="28" t="s">
        <v>4</v>
      </c>
      <c r="H62" s="13">
        <v>12</v>
      </c>
      <c r="I62" s="13" t="s">
        <v>40</v>
      </c>
      <c r="J62" s="23">
        <v>41439</v>
      </c>
      <c r="K62" s="23">
        <v>82631</v>
      </c>
      <c r="L62" s="23">
        <v>0</v>
      </c>
      <c r="M62" s="23">
        <v>0</v>
      </c>
      <c r="N62" s="40">
        <f t="shared" si="69"/>
        <v>124070</v>
      </c>
      <c r="O62" s="94">
        <v>23.965</v>
      </c>
      <c r="P62" s="35"/>
      <c r="Q62" s="35">
        <v>24.355</v>
      </c>
      <c r="R62" s="35"/>
      <c r="S62" s="20">
        <v>16.11</v>
      </c>
      <c r="T62" s="20"/>
      <c r="U62" s="95">
        <f t="shared" si="73"/>
        <v>10124.18</v>
      </c>
      <c r="V62" s="41">
        <f>VLOOKUP($B62,'Taryfa PSG'!$B$4:$D$10,2,0)</f>
        <v>3.6150000000000002</v>
      </c>
      <c r="W62" s="25">
        <f t="shared" si="74"/>
        <v>4485.13</v>
      </c>
      <c r="X62" s="24">
        <f>VLOOKUP($B62,'Taryfa PSG'!$B$4:$D$10,3,0)</f>
        <v>252.42</v>
      </c>
      <c r="Y62" s="14">
        <f t="shared" si="75"/>
        <v>3029.04</v>
      </c>
      <c r="Z62" s="60">
        <f t="shared" si="70"/>
        <v>7514.17</v>
      </c>
      <c r="AA62" s="97">
        <f t="shared" si="71"/>
        <v>17638.349999999999</v>
      </c>
      <c r="AB62" s="32">
        <v>0.23</v>
      </c>
      <c r="AC62" s="33">
        <f t="shared" si="76"/>
        <v>4056.82</v>
      </c>
      <c r="AD62" s="34">
        <f t="shared" si="77"/>
        <v>21695.17</v>
      </c>
    </row>
    <row r="63" spans="2:30" ht="30.75" customHeight="1" x14ac:dyDescent="0.2">
      <c r="B63" s="36" t="s">
        <v>19</v>
      </c>
      <c r="C63" s="13">
        <v>1</v>
      </c>
      <c r="D63" s="13">
        <v>0</v>
      </c>
      <c r="E63" s="39">
        <v>0.3</v>
      </c>
      <c r="F63" s="29">
        <f t="shared" si="72"/>
        <v>0.7</v>
      </c>
      <c r="G63" s="28" t="s">
        <v>4</v>
      </c>
      <c r="H63" s="13">
        <v>12</v>
      </c>
      <c r="I63" s="13" t="s">
        <v>40</v>
      </c>
      <c r="J63" s="23">
        <v>51075</v>
      </c>
      <c r="K63" s="23">
        <v>119175</v>
      </c>
      <c r="L63" s="23">
        <v>0</v>
      </c>
      <c r="M63" s="23">
        <v>0</v>
      </c>
      <c r="N63" s="40">
        <f t="shared" si="69"/>
        <v>170250</v>
      </c>
      <c r="O63" s="94">
        <v>23.965</v>
      </c>
      <c r="P63" s="35"/>
      <c r="Q63" s="35">
        <v>24.355</v>
      </c>
      <c r="R63" s="35"/>
      <c r="S63" s="20">
        <v>16.11</v>
      </c>
      <c r="T63" s="20"/>
      <c r="U63" s="95">
        <f t="shared" si="73"/>
        <v>12433.44</v>
      </c>
      <c r="V63" s="41">
        <f>VLOOKUP($B63,'Taryfa PSG'!$B$4:$D$10,2,0)</f>
        <v>3.6150000000000002</v>
      </c>
      <c r="W63" s="25">
        <f t="shared" si="74"/>
        <v>6154.54</v>
      </c>
      <c r="X63" s="24">
        <f>VLOOKUP($B63,'Taryfa PSG'!$B$4:$D$10,3,0)</f>
        <v>252.42</v>
      </c>
      <c r="Y63" s="14">
        <f t="shared" si="75"/>
        <v>3029.04</v>
      </c>
      <c r="Z63" s="60">
        <f t="shared" si="70"/>
        <v>9183.58</v>
      </c>
      <c r="AA63" s="97">
        <f t="shared" si="71"/>
        <v>21617.02</v>
      </c>
      <c r="AB63" s="32">
        <v>0.23</v>
      </c>
      <c r="AC63" s="33">
        <f t="shared" si="76"/>
        <v>4971.91</v>
      </c>
      <c r="AD63" s="34">
        <f t="shared" si="77"/>
        <v>26588.93</v>
      </c>
    </row>
    <row r="64" spans="2:30" ht="30.75" customHeight="1" x14ac:dyDescent="0.2">
      <c r="B64" s="36" t="s">
        <v>19</v>
      </c>
      <c r="C64" s="13">
        <v>0</v>
      </c>
      <c r="D64" s="13">
        <v>1</v>
      </c>
      <c r="E64" s="39">
        <v>0</v>
      </c>
      <c r="F64" s="29">
        <f t="shared" si="72"/>
        <v>1</v>
      </c>
      <c r="G64" s="28" t="s">
        <v>4</v>
      </c>
      <c r="H64" s="13">
        <v>12</v>
      </c>
      <c r="I64" s="13" t="s">
        <v>40</v>
      </c>
      <c r="J64" s="23">
        <v>0</v>
      </c>
      <c r="K64" s="23">
        <v>97097</v>
      </c>
      <c r="L64" s="23">
        <v>0</v>
      </c>
      <c r="M64" s="23">
        <v>29003</v>
      </c>
      <c r="N64" s="40">
        <f t="shared" si="69"/>
        <v>126100</v>
      </c>
      <c r="O64" s="94">
        <v>23.965</v>
      </c>
      <c r="P64" s="35"/>
      <c r="Q64" s="35">
        <v>24.355</v>
      </c>
      <c r="R64" s="35"/>
      <c r="S64" s="20">
        <v>16.11</v>
      </c>
      <c r="T64" s="20"/>
      <c r="U64" s="95">
        <f t="shared" si="73"/>
        <v>0</v>
      </c>
      <c r="V64" s="41">
        <f>VLOOKUP($B64,'Taryfa PSG'!$B$4:$D$10,2,0)</f>
        <v>3.6150000000000002</v>
      </c>
      <c r="W64" s="25">
        <f t="shared" si="74"/>
        <v>4558.5200000000004</v>
      </c>
      <c r="X64" s="24">
        <f>VLOOKUP($B64,'Taryfa PSG'!$B$4:$D$10,3,0)</f>
        <v>252.42</v>
      </c>
      <c r="Y64" s="14">
        <f t="shared" si="75"/>
        <v>3029.04</v>
      </c>
      <c r="Z64" s="60">
        <f t="shared" si="70"/>
        <v>7587.56</v>
      </c>
      <c r="AA64" s="97">
        <f t="shared" si="71"/>
        <v>7587.56</v>
      </c>
      <c r="AB64" s="32">
        <v>0.23</v>
      </c>
      <c r="AC64" s="33">
        <f t="shared" si="76"/>
        <v>1745.14</v>
      </c>
      <c r="AD64" s="34">
        <f t="shared" si="77"/>
        <v>9332.7000000000007</v>
      </c>
    </row>
    <row r="65" spans="2:30" ht="30.75" customHeight="1" x14ac:dyDescent="0.2">
      <c r="B65" s="47" t="s">
        <v>18</v>
      </c>
      <c r="C65" s="13">
        <v>30</v>
      </c>
      <c r="D65" s="13">
        <v>0</v>
      </c>
      <c r="E65" s="39">
        <v>1</v>
      </c>
      <c r="F65" s="29">
        <f t="shared" si="72"/>
        <v>0</v>
      </c>
      <c r="G65" s="13">
        <v>5811</v>
      </c>
      <c r="H65" s="13">
        <v>12</v>
      </c>
      <c r="I65" s="13">
        <v>8760</v>
      </c>
      <c r="J65" s="23">
        <v>8922350</v>
      </c>
      <c r="K65" s="23">
        <v>0</v>
      </c>
      <c r="L65" s="23">
        <v>0</v>
      </c>
      <c r="M65" s="23">
        <v>0</v>
      </c>
      <c r="N65" s="40">
        <f t="shared" si="69"/>
        <v>8922350</v>
      </c>
      <c r="O65" s="94">
        <v>23.917999999999999</v>
      </c>
      <c r="P65" s="35"/>
      <c r="Q65" s="35">
        <v>24.308</v>
      </c>
      <c r="R65" s="35"/>
      <c r="S65" s="20">
        <v>123</v>
      </c>
      <c r="T65" s="20"/>
      <c r="U65" s="95">
        <f t="shared" si="73"/>
        <v>2178327.67</v>
      </c>
      <c r="V65" s="41">
        <f>VLOOKUP($B65,'Taryfa PSG'!$B$4:$D$10,2,0)</f>
        <v>3.278</v>
      </c>
      <c r="W65" s="25">
        <f t="shared" si="74"/>
        <v>292474.63</v>
      </c>
      <c r="X65" s="24">
        <f>VLOOKUP($B65,'Taryfa PSG'!$B$4:$D$10,3,0)</f>
        <v>0.65400000000000003</v>
      </c>
      <c r="Y65" s="14">
        <f>+ROUND(G65*I65*X65/100,2)</f>
        <v>332914.51</v>
      </c>
      <c r="Z65" s="60">
        <f t="shared" si="70"/>
        <v>625389.14</v>
      </c>
      <c r="AA65" s="97">
        <f t="shared" si="71"/>
        <v>2803716.81</v>
      </c>
      <c r="AB65" s="32">
        <v>0.23</v>
      </c>
      <c r="AC65" s="33">
        <f t="shared" si="76"/>
        <v>644854.87</v>
      </c>
      <c r="AD65" s="34">
        <f t="shared" si="77"/>
        <v>3448571.68</v>
      </c>
    </row>
    <row r="66" spans="2:30" ht="30.75" customHeight="1" x14ac:dyDescent="0.2">
      <c r="B66" s="47" t="s">
        <v>18</v>
      </c>
      <c r="C66" s="13">
        <v>1</v>
      </c>
      <c r="D66" s="13">
        <v>0</v>
      </c>
      <c r="E66" s="39">
        <v>0.94899999999999995</v>
      </c>
      <c r="F66" s="29">
        <f t="shared" si="72"/>
        <v>5.1000000000000045E-2</v>
      </c>
      <c r="G66" s="13">
        <v>219</v>
      </c>
      <c r="H66" s="13">
        <v>12</v>
      </c>
      <c r="I66" s="13">
        <v>8760</v>
      </c>
      <c r="J66" s="23">
        <v>370059</v>
      </c>
      <c r="K66" s="23">
        <v>19887</v>
      </c>
      <c r="L66" s="23">
        <v>19477</v>
      </c>
      <c r="M66" s="23">
        <v>1047</v>
      </c>
      <c r="N66" s="40">
        <f t="shared" si="69"/>
        <v>410470</v>
      </c>
      <c r="O66" s="94">
        <v>23.917999999999999</v>
      </c>
      <c r="P66" s="35"/>
      <c r="Q66" s="35">
        <v>24.308</v>
      </c>
      <c r="R66" s="35"/>
      <c r="S66" s="20">
        <v>123</v>
      </c>
      <c r="T66" s="20"/>
      <c r="U66" s="95">
        <f t="shared" si="73"/>
        <v>94721.18</v>
      </c>
      <c r="V66" s="41">
        <f>VLOOKUP($B66,'Taryfa PSG'!$B$4:$D$10,2,0)</f>
        <v>3.278</v>
      </c>
      <c r="W66" s="25">
        <f t="shared" si="74"/>
        <v>13455.21</v>
      </c>
      <c r="X66" s="24">
        <f>VLOOKUP($B66,'Taryfa PSG'!$B$4:$D$10,3,0)</f>
        <v>0.65400000000000003</v>
      </c>
      <c r="Y66" s="14">
        <f t="shared" ref="Y66:Y72" si="78">+ROUND(G66*I66*X66/100,2)</f>
        <v>12546.6</v>
      </c>
      <c r="Z66" s="60">
        <f t="shared" si="70"/>
        <v>26001.809999999998</v>
      </c>
      <c r="AA66" s="97">
        <f t="shared" si="71"/>
        <v>120722.98999999999</v>
      </c>
      <c r="AB66" s="32">
        <v>0.23</v>
      </c>
      <c r="AC66" s="33">
        <f t="shared" si="76"/>
        <v>27766.29</v>
      </c>
      <c r="AD66" s="34">
        <f t="shared" si="77"/>
        <v>148489.28</v>
      </c>
    </row>
    <row r="67" spans="2:30" ht="30.75" customHeight="1" x14ac:dyDescent="0.2">
      <c r="B67" s="47" t="s">
        <v>18</v>
      </c>
      <c r="C67" s="13">
        <v>1</v>
      </c>
      <c r="D67" s="13">
        <v>0</v>
      </c>
      <c r="E67" s="39">
        <v>0.92</v>
      </c>
      <c r="F67" s="29">
        <f t="shared" si="72"/>
        <v>7.999999999999996E-2</v>
      </c>
      <c r="G67" s="13">
        <v>176</v>
      </c>
      <c r="H67" s="13">
        <v>12</v>
      </c>
      <c r="I67" s="13">
        <v>8760</v>
      </c>
      <c r="J67" s="23">
        <v>205326</v>
      </c>
      <c r="K67" s="23">
        <v>17854</v>
      </c>
      <c r="L67" s="23">
        <v>0</v>
      </c>
      <c r="M67" s="23">
        <v>0</v>
      </c>
      <c r="N67" s="40">
        <f t="shared" si="69"/>
        <v>223180</v>
      </c>
      <c r="O67" s="94">
        <v>23.917999999999999</v>
      </c>
      <c r="P67" s="35"/>
      <c r="Q67" s="35">
        <v>24.308</v>
      </c>
      <c r="R67" s="35"/>
      <c r="S67" s="20">
        <v>123</v>
      </c>
      <c r="T67" s="20"/>
      <c r="U67" s="95">
        <f t="shared" si="73"/>
        <v>50585.87</v>
      </c>
      <c r="V67" s="41">
        <f>VLOOKUP($B67,'Taryfa PSG'!$B$4:$D$10,2,0)</f>
        <v>3.278</v>
      </c>
      <c r="W67" s="25">
        <f t="shared" si="74"/>
        <v>7315.84</v>
      </c>
      <c r="X67" s="24">
        <f>VLOOKUP($B67,'Taryfa PSG'!$B$4:$D$10,3,0)</f>
        <v>0.65400000000000003</v>
      </c>
      <c r="Y67" s="14">
        <f t="shared" si="78"/>
        <v>10083.11</v>
      </c>
      <c r="Z67" s="60">
        <f t="shared" si="70"/>
        <v>17398.95</v>
      </c>
      <c r="AA67" s="97">
        <f t="shared" si="71"/>
        <v>67984.820000000007</v>
      </c>
      <c r="AB67" s="32">
        <v>0.23</v>
      </c>
      <c r="AC67" s="33">
        <f t="shared" si="76"/>
        <v>15636.51</v>
      </c>
      <c r="AD67" s="34">
        <f t="shared" si="77"/>
        <v>83621.33</v>
      </c>
    </row>
    <row r="68" spans="2:30" ht="30.75" customHeight="1" x14ac:dyDescent="0.2">
      <c r="B68" s="47" t="s">
        <v>18</v>
      </c>
      <c r="C68" s="13">
        <v>1</v>
      </c>
      <c r="D68" s="13">
        <v>0</v>
      </c>
      <c r="E68" s="39">
        <v>0.87660000000000005</v>
      </c>
      <c r="F68" s="29">
        <f t="shared" si="72"/>
        <v>0.12339999999999995</v>
      </c>
      <c r="G68" s="13">
        <v>219</v>
      </c>
      <c r="H68" s="13">
        <v>12</v>
      </c>
      <c r="I68" s="13">
        <v>8760</v>
      </c>
      <c r="J68" s="23">
        <v>271610</v>
      </c>
      <c r="K68" s="23">
        <v>38235</v>
      </c>
      <c r="L68" s="23">
        <v>59622</v>
      </c>
      <c r="M68" s="23">
        <v>8393</v>
      </c>
      <c r="N68" s="40">
        <f t="shared" si="69"/>
        <v>377860</v>
      </c>
      <c r="O68" s="94">
        <v>23.917999999999999</v>
      </c>
      <c r="P68" s="35"/>
      <c r="Q68" s="35">
        <v>24.308</v>
      </c>
      <c r="R68" s="35"/>
      <c r="S68" s="20">
        <v>123</v>
      </c>
      <c r="T68" s="20"/>
      <c r="U68" s="95">
        <f t="shared" si="73"/>
        <v>80932.600000000006</v>
      </c>
      <c r="V68" s="41">
        <f>VLOOKUP($B68,'Taryfa PSG'!$B$4:$D$10,2,0)</f>
        <v>3.278</v>
      </c>
      <c r="W68" s="25">
        <f t="shared" si="74"/>
        <v>12386.25</v>
      </c>
      <c r="X68" s="24">
        <f>VLOOKUP($B68,'Taryfa PSG'!$B$4:$D$10,3,0)</f>
        <v>0.65400000000000003</v>
      </c>
      <c r="Y68" s="14">
        <f t="shared" si="78"/>
        <v>12546.6</v>
      </c>
      <c r="Z68" s="60">
        <f t="shared" si="70"/>
        <v>24932.85</v>
      </c>
      <c r="AA68" s="97">
        <f t="shared" si="71"/>
        <v>105865.45000000001</v>
      </c>
      <c r="AB68" s="32">
        <v>0.23</v>
      </c>
      <c r="AC68" s="33">
        <f t="shared" si="76"/>
        <v>24349.05</v>
      </c>
      <c r="AD68" s="34">
        <f t="shared" si="77"/>
        <v>130214.50000000001</v>
      </c>
    </row>
    <row r="69" spans="2:30" ht="30.75" customHeight="1" x14ac:dyDescent="0.2">
      <c r="B69" s="47" t="s">
        <v>18</v>
      </c>
      <c r="C69" s="13">
        <v>1</v>
      </c>
      <c r="D69" s="13">
        <v>0</v>
      </c>
      <c r="E69" s="39">
        <v>0.55000000000000004</v>
      </c>
      <c r="F69" s="29">
        <f t="shared" si="72"/>
        <v>0.44999999999999996</v>
      </c>
      <c r="G69" s="13">
        <v>176</v>
      </c>
      <c r="H69" s="13">
        <v>12</v>
      </c>
      <c r="I69" s="13">
        <v>8760</v>
      </c>
      <c r="J69" s="23">
        <v>106491</v>
      </c>
      <c r="K69" s="23">
        <v>87129</v>
      </c>
      <c r="L69" s="23">
        <v>0</v>
      </c>
      <c r="M69" s="23">
        <v>0</v>
      </c>
      <c r="N69" s="40">
        <f t="shared" si="69"/>
        <v>193620</v>
      </c>
      <c r="O69" s="94">
        <v>23.917999999999999</v>
      </c>
      <c r="P69" s="35"/>
      <c r="Q69" s="35">
        <v>24.308</v>
      </c>
      <c r="R69" s="35"/>
      <c r="S69" s="20">
        <v>123</v>
      </c>
      <c r="T69" s="20"/>
      <c r="U69" s="95">
        <f t="shared" si="73"/>
        <v>26946.52</v>
      </c>
      <c r="V69" s="41">
        <f>VLOOKUP($B69,'Taryfa PSG'!$B$4:$D$10,2,0)</f>
        <v>3.278</v>
      </c>
      <c r="W69" s="25">
        <f t="shared" si="74"/>
        <v>6346.86</v>
      </c>
      <c r="X69" s="24">
        <f>VLOOKUP($B69,'Taryfa PSG'!$B$4:$D$10,3,0)</f>
        <v>0.65400000000000003</v>
      </c>
      <c r="Y69" s="14">
        <f t="shared" si="78"/>
        <v>10083.11</v>
      </c>
      <c r="Z69" s="60">
        <f t="shared" si="70"/>
        <v>16429.97</v>
      </c>
      <c r="AA69" s="97">
        <f t="shared" si="71"/>
        <v>43376.490000000005</v>
      </c>
      <c r="AB69" s="32">
        <v>0.23</v>
      </c>
      <c r="AC69" s="33">
        <f t="shared" si="76"/>
        <v>9976.59</v>
      </c>
      <c r="AD69" s="34">
        <f t="shared" si="77"/>
        <v>53353.08</v>
      </c>
    </row>
    <row r="70" spans="2:30" ht="30.75" customHeight="1" x14ac:dyDescent="0.2">
      <c r="B70" s="47" t="s">
        <v>18</v>
      </c>
      <c r="C70" s="13">
        <v>1</v>
      </c>
      <c r="D70" s="13">
        <v>0</v>
      </c>
      <c r="E70" s="39">
        <v>0.53339999999999999</v>
      </c>
      <c r="F70" s="29">
        <f t="shared" si="72"/>
        <v>0.46660000000000001</v>
      </c>
      <c r="G70" s="13">
        <v>165</v>
      </c>
      <c r="H70" s="13">
        <v>12</v>
      </c>
      <c r="I70" s="13">
        <v>8760</v>
      </c>
      <c r="J70" s="23">
        <v>145069</v>
      </c>
      <c r="K70" s="23">
        <v>126901</v>
      </c>
      <c r="L70" s="23">
        <v>0</v>
      </c>
      <c r="M70" s="23">
        <v>0</v>
      </c>
      <c r="N70" s="40">
        <f t="shared" si="69"/>
        <v>271970</v>
      </c>
      <c r="O70" s="94">
        <v>23.917999999999999</v>
      </c>
      <c r="P70" s="35"/>
      <c r="Q70" s="35">
        <v>24.308</v>
      </c>
      <c r="R70" s="35"/>
      <c r="S70" s="20">
        <v>123</v>
      </c>
      <c r="T70" s="20"/>
      <c r="U70" s="95">
        <f t="shared" si="73"/>
        <v>36173.599999999999</v>
      </c>
      <c r="V70" s="41">
        <f>VLOOKUP($B70,'Taryfa PSG'!$B$4:$D$10,2,0)</f>
        <v>3.278</v>
      </c>
      <c r="W70" s="25">
        <f t="shared" si="74"/>
        <v>8915.18</v>
      </c>
      <c r="X70" s="24">
        <f>VLOOKUP($B70,'Taryfa PSG'!$B$4:$D$10,3,0)</f>
        <v>0.65400000000000003</v>
      </c>
      <c r="Y70" s="14">
        <f t="shared" si="78"/>
        <v>9452.92</v>
      </c>
      <c r="Z70" s="60">
        <f t="shared" si="70"/>
        <v>18368.099999999999</v>
      </c>
      <c r="AA70" s="97">
        <f t="shared" si="71"/>
        <v>54541.7</v>
      </c>
      <c r="AB70" s="32">
        <v>0.23</v>
      </c>
      <c r="AC70" s="33">
        <f t="shared" si="76"/>
        <v>12544.59</v>
      </c>
      <c r="AD70" s="34">
        <f t="shared" si="77"/>
        <v>67086.289999999994</v>
      </c>
    </row>
    <row r="71" spans="2:30" ht="30.75" customHeight="1" x14ac:dyDescent="0.2">
      <c r="B71" s="47" t="s">
        <v>18</v>
      </c>
      <c r="C71" s="13">
        <v>1</v>
      </c>
      <c r="D71" s="13">
        <v>0</v>
      </c>
      <c r="E71" s="39">
        <v>0.11</v>
      </c>
      <c r="F71" s="29">
        <f t="shared" si="72"/>
        <v>0.89</v>
      </c>
      <c r="G71" s="13">
        <v>111</v>
      </c>
      <c r="H71" s="13">
        <v>12</v>
      </c>
      <c r="I71" s="13">
        <v>8760</v>
      </c>
      <c r="J71" s="23">
        <v>12781</v>
      </c>
      <c r="K71" s="23">
        <v>103409</v>
      </c>
      <c r="L71" s="23">
        <v>0</v>
      </c>
      <c r="M71" s="23">
        <v>0</v>
      </c>
      <c r="N71" s="40">
        <f t="shared" si="69"/>
        <v>116190</v>
      </c>
      <c r="O71" s="94">
        <v>23.917999999999999</v>
      </c>
      <c r="P71" s="35"/>
      <c r="Q71" s="35">
        <v>24.308</v>
      </c>
      <c r="R71" s="35"/>
      <c r="S71" s="20">
        <v>123</v>
      </c>
      <c r="T71" s="20"/>
      <c r="U71" s="95">
        <f t="shared" si="73"/>
        <v>4532.96</v>
      </c>
      <c r="V71" s="41">
        <f>VLOOKUP($B71,'Taryfa PSG'!$B$4:$D$10,2,0)</f>
        <v>3.278</v>
      </c>
      <c r="W71" s="25">
        <f t="shared" si="74"/>
        <v>3808.71</v>
      </c>
      <c r="X71" s="24">
        <f>VLOOKUP($B71,'Taryfa PSG'!$B$4:$D$10,3,0)</f>
        <v>0.65400000000000003</v>
      </c>
      <c r="Y71" s="14">
        <f t="shared" si="78"/>
        <v>6359.23</v>
      </c>
      <c r="Z71" s="60">
        <f t="shared" si="70"/>
        <v>10167.939999999999</v>
      </c>
      <c r="AA71" s="97">
        <f t="shared" si="71"/>
        <v>14700.899999999998</v>
      </c>
      <c r="AB71" s="32">
        <v>0.23</v>
      </c>
      <c r="AC71" s="33">
        <f t="shared" si="76"/>
        <v>3381.21</v>
      </c>
      <c r="AD71" s="34">
        <f t="shared" si="77"/>
        <v>18082.109999999997</v>
      </c>
    </row>
    <row r="72" spans="2:30" ht="30.75" customHeight="1" thickBot="1" x14ac:dyDescent="0.25">
      <c r="B72" s="120" t="s">
        <v>18</v>
      </c>
      <c r="C72" s="121">
        <v>0</v>
      </c>
      <c r="D72" s="121">
        <v>1</v>
      </c>
      <c r="E72" s="122">
        <v>0</v>
      </c>
      <c r="F72" s="123">
        <f t="shared" si="72"/>
        <v>1</v>
      </c>
      <c r="G72" s="121">
        <v>121</v>
      </c>
      <c r="H72" s="121">
        <v>12</v>
      </c>
      <c r="I72" s="121">
        <v>8760</v>
      </c>
      <c r="J72" s="124">
        <v>0</v>
      </c>
      <c r="K72" s="124">
        <v>105540</v>
      </c>
      <c r="L72" s="124">
        <v>0</v>
      </c>
      <c r="M72" s="124">
        <v>0</v>
      </c>
      <c r="N72" s="125">
        <f t="shared" si="69"/>
        <v>105540</v>
      </c>
      <c r="O72" s="86">
        <v>23.917999999999999</v>
      </c>
      <c r="P72" s="85"/>
      <c r="Q72" s="85">
        <v>24.308</v>
      </c>
      <c r="R72" s="85"/>
      <c r="S72" s="54">
        <v>123</v>
      </c>
      <c r="T72" s="54"/>
      <c r="U72" s="96">
        <f t="shared" si="73"/>
        <v>0</v>
      </c>
      <c r="V72" s="42">
        <f>VLOOKUP($B72,'Taryfa PSG'!$B$4:$D$10,2,0)</f>
        <v>3.278</v>
      </c>
      <c r="W72" s="27">
        <f t="shared" si="74"/>
        <v>3459.6</v>
      </c>
      <c r="X72" s="26">
        <f>VLOOKUP($B72,'Taryfa PSG'!$B$4:$D$10,3,0)</f>
        <v>0.65400000000000003</v>
      </c>
      <c r="Y72" s="15">
        <f t="shared" si="78"/>
        <v>6932.14</v>
      </c>
      <c r="Z72" s="61">
        <f t="shared" si="70"/>
        <v>10391.74</v>
      </c>
      <c r="AA72" s="98">
        <f t="shared" si="71"/>
        <v>10391.74</v>
      </c>
      <c r="AB72" s="91">
        <v>0.23</v>
      </c>
      <c r="AC72" s="92">
        <f t="shared" si="76"/>
        <v>2390.1</v>
      </c>
      <c r="AD72" s="93">
        <f t="shared" si="77"/>
        <v>12781.84</v>
      </c>
    </row>
    <row r="73" spans="2:30" ht="39" customHeight="1" thickBot="1" x14ac:dyDescent="0.25">
      <c r="B73" s="7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9"/>
      <c r="W73" s="10"/>
      <c r="X73" s="11"/>
      <c r="Y73" s="12"/>
      <c r="Z73" s="12"/>
      <c r="AA73" s="55">
        <f>SUM(AA46:AA72)</f>
        <v>5464982.160000002</v>
      </c>
      <c r="AB73" s="56">
        <v>0.23</v>
      </c>
      <c r="AC73" s="57">
        <f>SUM(AC46:AC72)</f>
        <v>1256945.9300000002</v>
      </c>
      <c r="AD73" s="58">
        <f>SUM(AD46:AD72)</f>
        <v>6721928.0900000008</v>
      </c>
    </row>
    <row r="74" spans="2:30" ht="25.5" customHeight="1" x14ac:dyDescent="0.2">
      <c r="B74" s="18" t="s">
        <v>46</v>
      </c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9"/>
      <c r="W74" s="10"/>
      <c r="X74" s="11"/>
      <c r="Y74" s="12"/>
      <c r="Z74" s="12"/>
      <c r="AA74" s="48"/>
      <c r="AB74" s="49"/>
      <c r="AC74" s="48"/>
      <c r="AD74" s="48"/>
    </row>
    <row r="75" spans="2:30" ht="51" customHeight="1" x14ac:dyDescent="0.2">
      <c r="B75" s="199" t="s">
        <v>79</v>
      </c>
      <c r="C75" s="199"/>
      <c r="D75" s="199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AA75" s="191" t="s">
        <v>75</v>
      </c>
      <c r="AB75" s="191"/>
      <c r="AC75" s="188">
        <f>AA36+AA73</f>
        <v>9896094.2400000021</v>
      </c>
      <c r="AD75" s="188"/>
    </row>
    <row r="76" spans="2:30" ht="27" customHeight="1" x14ac:dyDescent="0.2">
      <c r="B76" s="19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62"/>
      <c r="AA76" s="192" t="s">
        <v>74</v>
      </c>
      <c r="AB76" s="192"/>
      <c r="AC76" s="189">
        <f>AC36+AC73</f>
        <v>2276101.71</v>
      </c>
      <c r="AD76" s="189"/>
    </row>
    <row r="77" spans="2:30" ht="51" customHeight="1" x14ac:dyDescent="0.2">
      <c r="B77" s="19"/>
      <c r="J77" s="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2"/>
      <c r="AA77" s="191" t="s">
        <v>76</v>
      </c>
      <c r="AB77" s="191"/>
      <c r="AC77" s="189">
        <f>AD36+AD73</f>
        <v>12172195.949999999</v>
      </c>
      <c r="AD77" s="189"/>
    </row>
    <row r="78" spans="2:30" ht="18" customHeight="1" thickBot="1" x14ac:dyDescent="0.25">
      <c r="B78" s="19"/>
      <c r="J78" s="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2"/>
      <c r="AA78" s="64"/>
      <c r="AB78" s="64"/>
      <c r="AC78" s="63"/>
      <c r="AD78" s="63" t="s">
        <v>77</v>
      </c>
    </row>
    <row r="79" spans="2:30" ht="18" customHeight="1" x14ac:dyDescent="0.2">
      <c r="B79" s="71" t="s">
        <v>80</v>
      </c>
      <c r="C79" s="72"/>
      <c r="D79" s="72"/>
      <c r="E79" s="72"/>
      <c r="F79" s="72"/>
      <c r="G79" s="72"/>
      <c r="H79" s="72"/>
      <c r="I79" s="72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4"/>
      <c r="W79" s="72"/>
      <c r="X79" s="72"/>
      <c r="Y79" s="72"/>
      <c r="Z79" s="72"/>
      <c r="AA79" s="75"/>
      <c r="AB79" s="75"/>
      <c r="AC79" s="75"/>
      <c r="AD79" s="76"/>
    </row>
    <row r="80" spans="2:30" ht="18" customHeight="1" x14ac:dyDescent="0.2">
      <c r="B80" s="128" t="s">
        <v>83</v>
      </c>
      <c r="C80" s="129"/>
      <c r="D80" s="129"/>
      <c r="E80" s="129"/>
      <c r="F80" s="129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</row>
    <row r="81" spans="2:30" ht="24.75" customHeight="1" x14ac:dyDescent="0.2">
      <c r="B81" s="128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29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29"/>
      <c r="AA81" s="129"/>
      <c r="AB81" s="129"/>
      <c r="AC81" s="129"/>
      <c r="AD81" s="130"/>
    </row>
    <row r="82" spans="2:30" ht="24.75" customHeight="1" x14ac:dyDescent="0.2">
      <c r="B82" s="77" t="s">
        <v>81</v>
      </c>
      <c r="C82" s="78"/>
      <c r="D82" s="78"/>
      <c r="E82" s="78"/>
      <c r="F82" s="78"/>
      <c r="G82" s="78"/>
      <c r="H82" s="78"/>
      <c r="I82" s="78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8"/>
      <c r="X82" s="78"/>
      <c r="Y82" s="78"/>
      <c r="Z82" s="78"/>
      <c r="AA82" s="78"/>
      <c r="AB82" s="78"/>
      <c r="AC82" s="78"/>
      <c r="AD82" s="80"/>
    </row>
    <row r="83" spans="2:30" ht="24.75" customHeight="1" x14ac:dyDescent="0.2">
      <c r="B83" s="81" t="s">
        <v>82</v>
      </c>
      <c r="C83" s="78"/>
      <c r="D83" s="78"/>
      <c r="E83" s="78"/>
      <c r="F83" s="78"/>
      <c r="G83" s="78"/>
      <c r="H83" s="78"/>
      <c r="I83" s="78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8"/>
      <c r="X83" s="78"/>
      <c r="Y83" s="78"/>
      <c r="Z83" s="78"/>
      <c r="AA83" s="78"/>
      <c r="AB83" s="78"/>
      <c r="AC83" s="78"/>
      <c r="AD83" s="80"/>
    </row>
    <row r="84" spans="2:30" ht="24.75" customHeight="1" x14ac:dyDescent="0.2">
      <c r="B84" s="131" t="s">
        <v>84</v>
      </c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3"/>
    </row>
    <row r="85" spans="2:30" ht="24.75" customHeight="1" thickBot="1" x14ac:dyDescent="0.25">
      <c r="B85" s="82"/>
      <c r="C85" s="83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3"/>
      <c r="V85" s="83"/>
      <c r="W85" s="83"/>
      <c r="X85" s="83"/>
      <c r="Y85" s="83"/>
      <c r="Z85" s="83"/>
      <c r="AA85" s="83"/>
      <c r="AB85" s="83"/>
      <c r="AC85" s="83"/>
      <c r="AD85" s="84"/>
    </row>
  </sheetData>
  <mergeCells count="61">
    <mergeCell ref="AC75:AD75"/>
    <mergeCell ref="AC76:AD76"/>
    <mergeCell ref="AC77:AD77"/>
    <mergeCell ref="O43:P43"/>
    <mergeCell ref="Q43:R43"/>
    <mergeCell ref="AA75:AB75"/>
    <mergeCell ref="AA76:AB76"/>
    <mergeCell ref="AA77:AB77"/>
    <mergeCell ref="AB43:AB44"/>
    <mergeCell ref="AC43:AC44"/>
    <mergeCell ref="AD43:AD44"/>
    <mergeCell ref="Y43:Y44"/>
    <mergeCell ref="Z43:Z44"/>
    <mergeCell ref="AA43:AA44"/>
    <mergeCell ref="B75:Y75"/>
    <mergeCell ref="L43:M43"/>
    <mergeCell ref="B41:AD41"/>
    <mergeCell ref="B42:N42"/>
    <mergeCell ref="O42:U42"/>
    <mergeCell ref="V42:Z42"/>
    <mergeCell ref="AA42:AD42"/>
    <mergeCell ref="N43:N44"/>
    <mergeCell ref="W43:W44"/>
    <mergeCell ref="X43:X44"/>
    <mergeCell ref="B43:B44"/>
    <mergeCell ref="C43:F43"/>
    <mergeCell ref="G43:G44"/>
    <mergeCell ref="H43:H44"/>
    <mergeCell ref="I43:I44"/>
    <mergeCell ref="AA5:AD5"/>
    <mergeCell ref="B4:AD4"/>
    <mergeCell ref="AA6:AA7"/>
    <mergeCell ref="AB6:AB7"/>
    <mergeCell ref="V5:Z5"/>
    <mergeCell ref="W6:W7"/>
    <mergeCell ref="Z6:Z7"/>
    <mergeCell ref="AC6:AC7"/>
    <mergeCell ref="AD6:AD7"/>
    <mergeCell ref="B5:N5"/>
    <mergeCell ref="O6:P6"/>
    <mergeCell ref="Q6:R6"/>
    <mergeCell ref="U6:U7"/>
    <mergeCell ref="O5:U5"/>
    <mergeCell ref="L6:M6"/>
    <mergeCell ref="N6:N7"/>
    <mergeCell ref="B80:AD81"/>
    <mergeCell ref="B84:AD84"/>
    <mergeCell ref="C6:F6"/>
    <mergeCell ref="Y6:Y7"/>
    <mergeCell ref="J6:K6"/>
    <mergeCell ref="B6:B7"/>
    <mergeCell ref="G6:G7"/>
    <mergeCell ref="H6:H7"/>
    <mergeCell ref="I6:I7"/>
    <mergeCell ref="S6:T6"/>
    <mergeCell ref="V6:V7"/>
    <mergeCell ref="X6:X7"/>
    <mergeCell ref="S43:T43"/>
    <mergeCell ref="U43:U44"/>
    <mergeCell ref="V43:V44"/>
    <mergeCell ref="J43:K43"/>
  </mergeCells>
  <pageMargins left="0.25" right="0.26" top="0.28999999999999998" bottom="0.22" header="0.19" footer="0.14000000000000001"/>
  <pageSetup paperSize="9" scale="34" fitToHeight="0" orientation="landscape" r:id="rId1"/>
  <rowBreaks count="1" manualBreakCount="1">
    <brk id="3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E4" sqref="E4"/>
    </sheetView>
  </sheetViews>
  <sheetFormatPr defaultRowHeight="12.75" x14ac:dyDescent="0.2"/>
  <cols>
    <col min="1" max="1" width="4.625" style="50" customWidth="1"/>
    <col min="2" max="2" width="10.25" style="50" bestFit="1" customWidth="1"/>
    <col min="3" max="3" width="14.75" style="50" customWidth="1"/>
    <col min="4" max="4" width="21.5" style="50" customWidth="1"/>
    <col min="5" max="16384" width="9" style="50"/>
  </cols>
  <sheetData>
    <row r="2" spans="2:4" ht="36" customHeight="1" x14ac:dyDescent="0.2">
      <c r="B2" s="200" t="s">
        <v>69</v>
      </c>
      <c r="C2" s="200"/>
      <c r="D2" s="200"/>
    </row>
    <row r="3" spans="2:4" ht="114.75" customHeight="1" x14ac:dyDescent="0.2">
      <c r="B3" s="51" t="s">
        <v>70</v>
      </c>
      <c r="C3" s="66" t="s">
        <v>72</v>
      </c>
      <c r="D3" s="67" t="s">
        <v>62</v>
      </c>
    </row>
    <row r="4" spans="2:4" ht="17.25" customHeight="1" x14ac:dyDescent="0.2">
      <c r="B4" s="51" t="s">
        <v>47</v>
      </c>
      <c r="C4" s="51">
        <v>6.7640000000000002</v>
      </c>
      <c r="D4" s="52">
        <v>4.5999999999999996</v>
      </c>
    </row>
    <row r="5" spans="2:4" ht="17.25" customHeight="1" x14ac:dyDescent="0.2">
      <c r="B5" s="51" t="s">
        <v>78</v>
      </c>
      <c r="C5" s="51">
        <v>6.7640000000000002</v>
      </c>
      <c r="D5" s="52">
        <v>5.75</v>
      </c>
    </row>
    <row r="6" spans="2:4" ht="17.25" customHeight="1" x14ac:dyDescent="0.2">
      <c r="B6" s="51" t="s">
        <v>48</v>
      </c>
      <c r="C6" s="53">
        <v>4.92</v>
      </c>
      <c r="D6" s="52">
        <v>11.7</v>
      </c>
    </row>
    <row r="7" spans="2:4" ht="17.25" customHeight="1" x14ac:dyDescent="0.2">
      <c r="B7" s="51" t="s">
        <v>49</v>
      </c>
      <c r="C7" s="51">
        <v>3.6890000000000001</v>
      </c>
      <c r="D7" s="52">
        <v>45.19</v>
      </c>
    </row>
    <row r="8" spans="2:4" ht="17.25" customHeight="1" x14ac:dyDescent="0.2">
      <c r="B8" s="51" t="s">
        <v>19</v>
      </c>
      <c r="C8" s="51">
        <v>3.6150000000000002</v>
      </c>
      <c r="D8" s="52">
        <v>252.42</v>
      </c>
    </row>
    <row r="9" spans="2:4" ht="17.25" customHeight="1" x14ac:dyDescent="0.2">
      <c r="B9" s="51" t="s">
        <v>18</v>
      </c>
      <c r="C9" s="51">
        <v>3.278</v>
      </c>
      <c r="D9" s="51">
        <v>0.65400000000000003</v>
      </c>
    </row>
    <row r="10" spans="2:4" ht="17.25" customHeight="1" x14ac:dyDescent="0.2">
      <c r="B10" s="51" t="s">
        <v>71</v>
      </c>
      <c r="C10" s="51">
        <v>3.0880000000000001</v>
      </c>
      <c r="D10" s="51">
        <v>0.60099999999999998</v>
      </c>
    </row>
  </sheetData>
  <mergeCells count="1">
    <mergeCell ref="B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Taryfa PSG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2024-09-11T08:15:22Z</cp:lastPrinted>
  <dcterms:created xsi:type="dcterms:W3CDTF">2015-09-16T11:15:51Z</dcterms:created>
  <dcterms:modified xsi:type="dcterms:W3CDTF">2024-12-16T10:04:24Z</dcterms:modified>
</cp:coreProperties>
</file>